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EECB51C1-5FD9-4FD6-9E1C-661B6613AFC4}" xr6:coauthVersionLast="47" xr6:coauthVersionMax="47" xr10:uidLastSave="{00000000-0000-0000-0000-000000000000}"/>
  <bookViews>
    <workbookView xWindow="-120" yWindow="480" windowWidth="29040" windowHeight="1584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80" l="1"/>
  <c r="G17" i="16"/>
  <c r="C35" i="81"/>
  <c r="C12" i="81"/>
  <c r="Y63" i="81"/>
  <c r="Y67" i="81" s="1"/>
  <c r="W63" i="81"/>
  <c r="W67"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5" i="81"/>
  <c r="W17" i="16"/>
  <c r="W14" i="16"/>
  <c r="E20" i="84" l="1"/>
  <c r="E6" i="84"/>
  <c r="D6" i="84"/>
  <c r="J24" i="83"/>
  <c r="AE3" i="81"/>
  <c r="O3" i="81"/>
  <c r="E7" i="92"/>
  <c r="G5" i="5" s="1"/>
  <c r="E6" i="92"/>
  <c r="O3" i="92" s="1"/>
  <c r="E7" i="85"/>
  <c r="F5" i="5" s="1"/>
  <c r="E6" i="85"/>
  <c r="O3" i="85" s="1"/>
  <c r="E7" i="93"/>
  <c r="E5" i="5" s="1"/>
  <c r="E6" i="93"/>
  <c r="O3" i="93" s="1"/>
  <c r="E7" i="80"/>
  <c r="E6" i="80"/>
  <c r="O3" i="80" s="1"/>
  <c r="O35"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5" i="30" a="1"/>
  <c r="D32" i="30" a="1"/>
  <c r="D15" i="30" a="1"/>
  <c r="D13" i="30" a="1"/>
  <c r="D47" i="30" a="1"/>
  <c r="D44" i="30" a="1"/>
  <c r="H22" i="30" a="1"/>
  <c r="H21" i="30" a="1"/>
  <c r="H13" i="30" a="1"/>
  <c r="D14" i="30" a="1"/>
  <c r="D42" i="30" a="1"/>
  <c r="D33" i="30" a="1"/>
  <c r="D45" i="30" a="1"/>
  <c r="D34" i="30" a="1"/>
  <c r="H18" i="30" a="1"/>
  <c r="D43" i="30" a="1"/>
  <c r="D9" i="30" a="1"/>
  <c r="D36" i="30" a="1"/>
  <c r="D21" i="30" a="1"/>
  <c r="D31" i="30" a="1"/>
  <c r="D19" i="30" a="1"/>
  <c r="H17" i="30" a="1"/>
  <c r="D40" i="30" a="1"/>
  <c r="D12" i="30" a="1"/>
  <c r="H7" i="30" a="1"/>
  <c r="D22" i="30" a="1"/>
  <c r="D26" i="30" a="1"/>
  <c r="D30" i="30" a="1"/>
  <c r="D17" i="30" a="1"/>
  <c r="D7" i="30" a="1"/>
  <c r="D3" i="30" a="1"/>
  <c r="D20" i="30" a="1"/>
  <c r="D27" i="30" a="1"/>
  <c r="D23" i="30" a="1"/>
  <c r="H10" i="30" a="1"/>
  <c r="H3" i="30" a="1"/>
  <c r="D24" i="30" a="1"/>
  <c r="D8" i="30" a="1"/>
  <c r="D39" i="30" a="1"/>
  <c r="H15" i="30" a="1"/>
  <c r="H9" i="30" a="1"/>
  <c r="H12" i="30" a="1"/>
  <c r="H20" i="30" a="1"/>
  <c r="D35" i="30" a="1"/>
  <c r="D16" i="30" a="1"/>
  <c r="D28" i="30" a="1"/>
  <c r="D4" i="30" a="1"/>
  <c r="H19" i="30" a="1"/>
  <c r="D11" i="30" a="1"/>
  <c r="D38" i="30" a="1"/>
  <c r="H4" i="30" a="1"/>
  <c r="D29" i="30" a="1"/>
  <c r="H8" i="30" a="1"/>
  <c r="D25" i="30" a="1"/>
  <c r="D48" i="30" a="1"/>
  <c r="H16" i="30" a="1"/>
  <c r="D10" i="30" a="1"/>
  <c r="H11" i="30" a="1"/>
  <c r="H6" i="30" a="1"/>
  <c r="D41" i="30" a="1"/>
  <c r="D6" i="30" a="1"/>
  <c r="D5" i="30" a="1"/>
  <c r="H14" i="30" a="1"/>
  <c r="D18" i="30" a="1"/>
  <c r="D37" i="30" a="1"/>
  <c r="D4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Z33" i="84"/>
  <c r="AP33" i="84"/>
  <c r="R33" i="84"/>
  <c r="J33" i="84"/>
  <c r="AG33" i="84"/>
  <c r="AB33" i="84"/>
  <c r="AD33" i="84"/>
  <c r="AE33" i="84"/>
  <c r="AN33" i="84"/>
  <c r="K33" i="84"/>
  <c r="M33" i="84"/>
  <c r="AL33" i="84"/>
  <c r="AM33" i="84"/>
  <c r="S33" i="84"/>
  <c r="U33" i="84"/>
  <c r="AO33" i="84"/>
  <c r="T33" i="84"/>
  <c r="I33" i="84"/>
  <c r="AA33" i="84"/>
  <c r="AC33" i="84"/>
  <c r="L33" i="84"/>
  <c r="AR33" i="84"/>
  <c r="V33" i="84"/>
  <c r="AI33" i="84"/>
  <c r="AK33" i="84"/>
  <c r="AJ33" i="84"/>
  <c r="H33" i="84"/>
  <c r="W33" i="84"/>
  <c r="AQ33" i="84"/>
  <c r="AS33" i="84"/>
  <c r="P33" i="84"/>
  <c r="AT33" i="84"/>
  <c r="AF33" i="84"/>
  <c r="Q33" i="84"/>
  <c r="N33" i="84"/>
  <c r="O33" i="84"/>
  <c r="X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Y30" i="84" l="1"/>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L35" i="84" s="1"/>
  <c r="AL37" i="84" s="1"/>
  <c r="AG34" i="84"/>
  <c r="AG35" i="84" s="1"/>
  <c r="AG37" i="84" s="1"/>
  <c r="AI34" i="84"/>
  <c r="AI35" i="84" s="1"/>
  <c r="AI37" i="84" s="1"/>
  <c r="AQ34" i="84"/>
  <c r="AQ35" i="84" s="1"/>
  <c r="AQ37" i="84" s="1"/>
  <c r="AC34" i="84"/>
  <c r="AT34" i="84"/>
  <c r="AT35" i="84" s="1"/>
  <c r="AT37" i="84" s="1"/>
  <c r="G34" i="84"/>
  <c r="AN34" i="84"/>
  <c r="AN35" i="84" s="1"/>
  <c r="AN37" i="84" s="1"/>
  <c r="L34" i="84"/>
  <c r="AK34" i="84"/>
  <c r="AK35" i="84" s="1"/>
  <c r="AK37" i="84" s="1"/>
  <c r="O34" i="84"/>
  <c r="P34" i="84"/>
  <c r="T34" i="84"/>
  <c r="AS34" i="84"/>
  <c r="AS35" i="84" s="1"/>
  <c r="AS37" i="84" s="1"/>
  <c r="W34" i="84"/>
  <c r="AR34" i="84"/>
  <c r="AR35" i="84" s="1"/>
  <c r="AR37" i="84" s="1"/>
  <c r="V34" i="84"/>
  <c r="AF34" i="84"/>
  <c r="AF35" i="84" s="1"/>
  <c r="AF37" i="84" s="1"/>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H19" i="84" l="1"/>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E91DC335-5C47-4617-96EE-FC0E290D326D}">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7"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<sst xmlns="http://schemas.openxmlformats.org/spreadsheetml/2006/main" count="2278" uniqueCount="764">
  <si>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</si>
  <si>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</si>
  <si>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</si>
  <si>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</si>
  <si>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</si>
  <si>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</si>
  <si>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</si>
  <si>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</si>
  <si>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</si>
  <si>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</si>
  <si>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</si>
  <si>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</si>
  <si>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</si>
  <si>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</si>
  <si>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</si>
  <si>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</si>
  <si>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</si>
  <si>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</si>
  <si>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</si>
  <si>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</si>
  <si>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</si>
  <si>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</si>
  <si>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</si>
  <si>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</si>
  <si>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</si>
  <si>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</si>
  <si>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</si>
  <si>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</si>
  <si>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</si>
  <si>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</si>
  <si>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</si>
  <si>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</si>
  <si>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</si>
  <si>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</si>
  <si>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</si>
  <si>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</si>
  <si>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</si>
  <si>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</si>
  <si>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</si>
  <si>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</si>
  <si>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</si>
  <si>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</si>
  <si>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</si>
  <si>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</si>
  <si>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</si>
  <si>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</si>
  <si>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</si>
  <si>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</si>
  <si>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</si>
  <si>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</si>
  <si>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</si>
  <si>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</si>
  <si>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</si>
  <si>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</si>
  <si>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</si>
  <si>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</si>
  <si>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</si>
  <si>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</si>
  <si>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</si>
  <si>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</si>
  <si>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</si>
  <si>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</si>
  <si>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</si>
  <si>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</si>
  <si>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</si>
  <si>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</si>
  <si>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</si>
  <si>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</si>
  <si>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</si>
  <si>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</si>
  <si>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</si>
  <si>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</si>
  <si>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</si>
  <si>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</si>
  <si>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</si>
  <si>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</si>
  <si>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</si>
  <si>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</si>
  <si>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</si>
  <si>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</si>
  <si>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</si>
  <si>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</si>
  <si>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</si>
  <si>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</si>
  <si>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</si>
  <si>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</si>
  <si>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</si>
  <si>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</si>
  <si>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</si>
  <si>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</si>
  <si>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</si>
  <si>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</si>
  <si>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</si>
  <si>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</si>
  <si>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</si>
  <si>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</si>
  <si>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</si>
  <si>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</si>
  <si>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</si>
  <si>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</si>
  <si>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</si>
  <si>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</si>
  <si>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</si>
  <si>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</si>
  <si>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</si>
  <si>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</si>
  <si>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</si>
  <si>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</si>
  <si>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</si>
  <si>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</si>
  <si>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</si>
  <si>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</si>
  <si>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</si>
  <si>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</si>
  <si>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</si>
  <si>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</si>
  <si>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</si>
  <si>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</si>
  <si>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</si>
  <si>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</si>
  <si>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</si>
  <si>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</si>
  <si>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</si>
  <si>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</si>
  <si>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</si>
  <si>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</si>
  <si>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</si>
  <si>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</si>
  <si>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</si>
  <si>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</si>
  <si>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</si>
  <si>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</si>
  <si>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</si>
  <si>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</si>
  <si>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</si>
  <si>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</si>
  <si>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</si>
  <si>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</si>
  <si>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</si>
  <si>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</si>
  <si>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</si>
  <si>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</si>
  <si>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</si>
  <si>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</si>
  <si>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</si>
  <si>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</si>
  <si>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</si>
  <si>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</si>
  <si>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</si>
  <si>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</si>
  <si>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</si>
  <si>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</si>
  <si>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</si>
  <si>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</si>
  <si>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</si>
  <si>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</si>
  <si>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</si>
  <si>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</si>
  <si>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</si>
  <si>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</si>
  <si>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</si>
  <si>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</si>
  <si>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</si>
  <si>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</si>
  <si>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</si>
  <si>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</si>
  <si>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</si>
  <si>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</si>
  <si>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</si>
  <si>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</si>
  <si>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</si>
  <si>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</si>
  <si>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</si>
  <si>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</si>
  <si>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</si>
  <si>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</si>
  <si>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</si>
  <si>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</si>
  <si>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</si>
  <si>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</si>
  <si>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</si>
  <si>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</si>
  <si>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</si>
  <si>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</si>
  <si>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</si>
  <si>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</si>
  <si>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</si>
  <si>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</si>
  <si>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</si>
  <si>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</si>
  <si>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</si>
  <si>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</si>
  <si>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</si>
  <si>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</si>
  <si>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</si>
  <si>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</si>
  <si>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</si>
  <si>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</si>
  <si>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</si>
  <si>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</si>
  <si>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</si>
  <si>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</si>
  <si>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</si>
  <si>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</si>
  <si>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</si>
  <si>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</si>
  <si>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</si>
  <si>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</si>
  <si>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</si>
  <si>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</si>
  <si>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</si>
  <si>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</si>
  <si>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</si>
  <si>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</si>
  <si>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</si>
  <si>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</si>
  <si>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</si>
  <si>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</si>
  <si>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</si>
  <si>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</si>
  <si>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</si>
  <si>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</si>
  <si>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</si>
  <si>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</si>
  <si>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</si>
  <si>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</si>
  <si>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</si>
  <si>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</si>
  <si>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</si>
  <si>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</si>
  <si>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</si>
  <si>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</si>
  <si>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</si>
  <si>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</si>
  <si>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</si>
  <si>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</si>
  <si>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</si>
  <si>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</si>
  <si>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</si>
  <si>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</si>
  <si>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</si>
  <si>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</si>
  <si>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</si>
  <si>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</si>
  <si>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</si>
  <si>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</si>
  <si>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</si>
  <si>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</si>
  <si>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</si>
  <si>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</si>
  <si>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</si>
  <si>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</si>
  <si>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</si>
  <si>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</si>
  <si>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</si>
  <si>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</si>
  <si>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</si>
  <si>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</si>
  <si>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</si>
  <si>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</si>
  <si>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</si>
  <si>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</si>
  <si>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</si>
  <si>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</si>
  <si>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</si>
  <si>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</si>
  <si>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</si>
  <si>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</si>
  <si>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</si>
  <si>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</si>
  <si>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</si>
  <si>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</si>
  <si>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</si>
  <si>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</si>
  <si>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</si>
  <si>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</si>
  <si>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</si>
  <si>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</si>
  <si>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</si>
  <si>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</si>
  <si>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</si>
  <si>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</si>
  <si>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</si>
  <si>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</si>
  <si>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</si>
  <si>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</si>
  <si>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</si>
  <si>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</si>
  <si>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</si>
  <si>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</si>
  <si>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</si>
  <si>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</si>
  <si>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</si>
  <si>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</si>
  <si>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</si>
  <si>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</si>
  <si>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</si>
  <si>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</si>
  <si>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</si>
  <si>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</si>
  <si>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</si>
  <si>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</si>
  <si>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</si>
  <si>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</si>
  <si>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</si>
  <si>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</si>
  <si>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</si>
  <si>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</si>
  <si>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</si>
  <si>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</si>
  <si>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</si>
  <si>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</si>
  <si>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</si>
  <si>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</si>
  <si>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</si>
  <si>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</si>
  <si>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</si>
  <si>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</si>
  <si>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</si>
  <si>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</si>
  <si>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</si>
  <si>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</si>
  <si>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</si>
  <si>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</si>
  <si>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</si>
  <si>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</si>
  <si>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</si>
  <si>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</si>
  <si>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</si>
  <si>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</si>
  <si>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</si>
  <si>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</si>
  <si>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</si>
  <si>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</si>
  <si>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</si>
  <si>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</si>
  <si>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</si>
  <si>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</si>
  <si>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</si>
  <si>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</si>
  <si>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</si>
  <si>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</si>
  <si>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</si>
  <si>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</si>
  <si>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</si>
  <si>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</si>
  <si>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</si>
  <si>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</si>
  <si>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</si>
  <si>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</si>
  <si>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</si>
  <si>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</si>
  <si>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</si>
  <si>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</si>
  <si>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</si>
  <si>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</si>
  <si>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</si>
  <si>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</si>
  <si>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</si>
  <si>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</si>
  <si>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</si>
  <si>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</si>
  <si>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</si>
  <si>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</si>
  <si>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</si>
  <si>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</si>
  <si>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</si>
  <si>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</si>
  <si>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</si>
  <si>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</si>
  <si>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</si>
  <si>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</si>
  <si>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</si>
  <si>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</si>
  <si>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</si>
  <si>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</si>
  <si>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</si>
  <si>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</si>
  <si>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</si>
  <si>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</si>
  <si>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</si>
  <si>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</si>
  <si>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</si>
  <si>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</si>
  <si>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</si>
  <si>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</si>
  <si>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</si>
  <si>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</si>
  <si>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</si>
  <si>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</si>
  <si>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</si>
  <si>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</si>
  <si>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</si>
  <si>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</si>
  <si>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</si>
  <si>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</si>
  <si>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</si>
  <si>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</si>
  <si>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</si>
  <si>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</si>
  <si>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</si>
  <si>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</si>
  <si>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</si>
  <si>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</si>
  <si>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</si>
  <si>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</si>
  <si>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</si>
  <si>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</si>
  <si>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</si>
  <si>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</si>
  <si>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</si>
  <si>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</si>
  <si>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</si>
  <si>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</si>
  <si>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</si>
  <si>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</si>
  <si>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</si>
  <si>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</si>
  <si>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</si>
  <si>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</si>
  <si>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</si>
  <si>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</si>
  <si>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</si>
  <si>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</si>
  <si>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</si>
  <si>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</si>
  <si>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</si>
  <si>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</si>
  <si>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</si>
  <si>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</si>
  <si>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</si>
  <si>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</si>
  <si>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</si>
  <si>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</si>
  <si>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</si>
  <si>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</si>
  <si>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</si>
  <si>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</si>
  <si>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</si>
  <si>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</si>
  <si>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</si>
  <si>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</si>
  <si>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</si>
  <si>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</si>
  <si>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</si>
  <si>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</si>
  <si>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</si>
  <si>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</si>
  <si>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</si>
  <si>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</si>
  <si>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</si>
  <si>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</si>
  <si>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</si>
  <si>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</si>
  <si>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</si>
  <si>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</si>
  <si>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</si>
  <si>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</si>
  <si>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</si>
  <si>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</si>
  <si>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</si>
  <si>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</si>
  <si>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</si>
  <si>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</si>
  <si>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</si>
  <si>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</si>
  <si>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</si>
  <si>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</si>
  <si>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</si>
  <si>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</si>
  <si>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</si>
  <si>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</si>
  <si>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</si>
  <si>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</si>
  <si>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</si>
  <si>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</si>
  <si>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</si>
  <si>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</si>
  <si>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</si>
  <si>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</si>
  <si>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</si>
  <si>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</si>
  <si>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</si>
  <si>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</si>
  <si>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</si>
  <si>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</si>
  <si>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</si>
  <si>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</si>
  <si>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</si>
  <si>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</si>
  <si>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</si>
  <si>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</si>
  <si>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</si>
  <si>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</si>
  <si>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</si>
  <si>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</si>
  <si>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</si>
  <si>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</si>
  <si>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</si>
  <si>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</si>
  <si>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</si>
  <si>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</si>
  <si>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</si>
  <si>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</si>
  <si>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</si>
  <si>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</si>
  <si>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</si>
  <si>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</si>
  <si>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</si>
  <si>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</si>
  <si>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</si>
  <si>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</si>
  <si>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</si>
  <si>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</si>
  <si>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</si>
  <si>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</si>
  <si>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</si>
  <si>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</si>
  <si>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</si>
  <si>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</si>
  <si>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</si>
  <si>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</si>
  <si>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</si>
  <si>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</si>
  <si>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</si>
  <si>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</si>
  <si>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</si>
  <si>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</si>
  <si>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</si>
  <si>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</si>
  <si>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</si>
  <si>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</si>
  <si>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</si>
  <si>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</si>
  <si>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</si>
  <si>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</si>
  <si>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</si>
  <si>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</si>
  <si>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</si>
  <si>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</si>
  <si>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</si>
  <si>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</si>
  <si>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</si>
  <si>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</si>
  <si>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</si>
  <si>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</si>
  <si>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</si>
  <si>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</si>
  <si>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</si>
  <si>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</si>
  <si>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</si>
  <si>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</si>
  <si>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</si>
  <si>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</si>
  <si>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</si>
  <si>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</si>
  <si>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</si>
  <si>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</si>
  <si>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</si>
  <si>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</si>
  <si>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</si>
  <si>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</si>
  <si>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</si>
  <si>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</si>
  <si>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</si>
  <si>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</si>
  <si>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</si>
  <si>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</si>
  <si>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</si>
  <si>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</si>
  <si>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</si>
  <si>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</si>
  <si>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</si>
  <si>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</si>
  <si>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</si>
  <si>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</si>
  <si>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</si>
  <si>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</si>
  <si>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</si>
  <si>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</si>
  <si>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</si>
  <si>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</si>
  <si>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</si>
  <si>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</si>
  <si>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</si>
  <si>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</si>
  <si>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</si>
  <si>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</si>
  <si>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</si>
  <si>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</si>
  <si>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</si>
  <si>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</si>
  <si>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</si>
  <si>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</si>
  <si>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</si>
  <si>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</si>
  <si>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</si>
  <si>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</si>
  <si>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</si>
  <si>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</si>
  <si>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</si>
  <si>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</si>
  <si>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</si>
  <si>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</si>
  <si>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</si>
  <si>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</si>
  <si>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</si>
  <si>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</si>
  <si>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</si>
  <si>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</si>
  <si>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</si>
  <si>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</si>
  <si>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</si>
  <si>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</si>
  <si>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</si>
  <si>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</si>
  <si>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</si>
  <si>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</si>
  <si>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</si>
  <si>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</si>
  <si>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</si>
  <si>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</si>
  <si>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</si>
  <si>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</si>
  <si>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</si>
  <si>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</si>
  <si>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</si>
  <si>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</si>
  <si>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</si>
  <si>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</si>
  <si>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</si>
  <si>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</si>
  <si>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</si>
  <si>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</si>
  <si>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</si>
  <si>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</si>
  <si>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</si>
  <si>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</si>
  <si>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</si>
  <si>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</si>
  <si>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</si>
  <si>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</si>
  <si>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</si>
  <si>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</si>
  <si>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</si>
  <si>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</si>
  <si>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</si>
  <si>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</si>
  <si>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</si>
  <si>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</si>
  <si>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</si>
  <si>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</si>
  <si>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</si>
  <si>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</si>
  <si>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</si>
  <si>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</si>
  <si>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</si>
  <si>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</si>
  <si>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Estimate  Benchmark</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</si>
  <si>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</si>
  <si>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</si>
  <si>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</si>
  <si>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</si>
  <si>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</si>
  <si>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</si>
  <si>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</si>
  <si>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</si>
  <si>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</si>
  <si>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</si>
  <si>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</si>
  <si>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</si>
  <si>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</si>
  <si>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</si>
  <si>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</si>
  <si>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</si>
  <si>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</si>
  <si>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</si>
  <si>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</si>
  <si>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</si>
  <si>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</si>
  <si>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</si>
  <si>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</si>
  <si>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</si>
  <si>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</si>
  <si>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</si>
  <si>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</si>
  <si>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</si>
  <si>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</si>
  <si>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</si>
  <si>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</si>
  <si>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</si>
  <si>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</si>
  <si>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</si>
  <si>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</si>
  <si>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</si>
  <si>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</si>
  <si>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</si>
  <si>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</si>
  <si>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</si>
  <si>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</si>
  <si>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</si>
  <si>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</si>
  <si>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</si>
  <si>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</si>
  <si>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</si>
  <si>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</si>
  <si>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</si>
  <si>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</si>
  <si>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</si>
  <si>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</si>
  <si>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</si>
  <si>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Universidad Politécnica de Madrid</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</si>
  <si>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</si>
  <si>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</si>
  <si>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</si>
  <si>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</si>
  <si>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</si>
  <si>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</si>
  <si>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</si>
  <si>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r>
      <rPr>
        <b/>
        <sz val="12"/>
        <color theme="1"/>
        <rFont val="Calibri"/>
        <family val="2"/>
        <scheme val="minor"/>
      </rPr>
      <t xml:space="preserve">  b)  </t>
    </r>
    <r>
      <rPr>
        <sz val="12"/>
        <color theme="1"/>
        <rFont val="Calibri"/>
        <family val="2"/>
        <scheme val="minor"/>
      </rPr>
      <t xml:space="preserve"> Scaling</t>
    </r>
  </si>
  <si>
    <t>SEA Tool</t>
  </si>
  <si>
    <t>NOTES</t>
  </si>
  <si>
    <t>1.0</t>
  </si>
  <si>
    <t>MAY 2021</t>
  </si>
  <si>
    <r>
      <t xml:space="preserve">  </t>
    </r>
    <r>
      <rPr>
        <b/>
        <sz val="12"/>
        <color theme="1"/>
        <rFont val="Calibri"/>
        <family val="2"/>
        <scheme val="minor"/>
      </rPr>
      <t xml:space="preserve">       a)   </t>
    </r>
    <r>
      <rPr>
        <sz val="12"/>
        <color theme="1"/>
        <rFont val="Calibri"/>
        <family val="2"/>
        <scheme val="minor"/>
      </rPr>
      <t>Equipment</t>
    </r>
  </si>
  <si>
    <t xml:space="preserve">   Name</t>
  </si>
  <si>
    <t xml:space="preserve">   Version</t>
  </si>
  <si>
    <t xml:space="preserve">   Release Date</t>
  </si>
  <si>
    <t xml:space="preserve">   License</t>
  </si>
  <si>
    <t>correspondence: cr.arnaiz@upm.es; schalk.cloete@sintef.no</t>
  </si>
  <si>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Calculate Fixed/Variable Operation &amp; Maintenance costs and Fuel/Raw Material costs (OPEX sheet)</t>
    </r>
  </si>
  <si>
    <t>cost/year</t>
  </si>
  <si>
    <r>
      <t>cost</t>
    </r>
    <r>
      <rPr>
        <sz val="12"/>
        <color theme="1" tint="4.9989318521683403E-2"/>
        <rFont val="Calibri"/>
        <family val="2"/>
      </rPr>
      <t>/year</t>
    </r>
  </si>
  <si>
    <t xml:space="preserve">Attribution: </t>
  </si>
  <si>
    <r>
      <rPr>
        <b/>
        <sz val="14"/>
        <color theme="1"/>
        <rFont val="Calibri"/>
        <family val="2"/>
        <scheme val="minor"/>
      </rPr>
      <t>2.</t>
    </r>
    <r>
      <rPr>
        <sz val="14"/>
        <color theme="1"/>
        <rFont val="Calibri"/>
        <family val="2"/>
        <scheme val="minor"/>
      </rPr>
      <t xml:space="preserve">  </t>
    </r>
    <r>
      <rPr>
        <sz val="12"/>
        <color theme="1"/>
        <rFont val="Calibri"/>
        <family val="2"/>
        <scheme val="minor"/>
      </rPr>
      <t>Estimate each Plant Unit Bare Erected Cost (BEC) with either of two approaches:</t>
    </r>
  </si>
  <si>
    <r>
      <rPr>
        <b/>
        <sz val="14"/>
        <color theme="1"/>
        <rFont val="Calibri"/>
        <family val="2"/>
        <scheme val="minor"/>
      </rPr>
      <t>1.</t>
    </r>
    <r>
      <rPr>
        <b/>
        <sz val="12"/>
        <color theme="1"/>
        <rFont val="Calibri"/>
        <family val="2"/>
        <scheme val="minor"/>
      </rPr>
      <t xml:space="preserve">   </t>
    </r>
    <r>
      <rPr>
        <sz val="12"/>
        <color theme="1"/>
        <rFont val="Calibri"/>
        <family val="2"/>
        <scheme val="minor"/>
      </rPr>
      <t>Specify Plant Units, main product, raw materials/fuels and emissions. Set target cost estimation basis.</t>
    </r>
  </si>
  <si>
    <t>1st version of SEA Tool</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</si>
  <si>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</si>
  <si>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</si>
  <si>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Benchmark Unit estimates with available literature references input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</si>
  <si>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Determine Total Overnight Cost (TOC) by applying capital cost methodology (CAPEX sheet)</t>
    </r>
  </si>
  <si>
    <t>NPV</t>
  </si>
  <si>
    <t>IRR</t>
  </si>
  <si>
    <t>Indicator</t>
  </si>
  <si>
    <t>Price of Product</t>
  </si>
  <si>
    <t>Discounted Cash Flow</t>
  </si>
  <si>
    <t>Economic Analysis Input/Output</t>
  </si>
  <si>
    <t>Plant &amp; Economic Summary</t>
  </si>
  <si>
    <t>SPP</t>
  </si>
  <si>
    <t>DPP</t>
  </si>
  <si>
    <t>Benchmarking (LCOP)</t>
  </si>
  <si>
    <t>Economic Indicator</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</si>
  <si>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Define economic assumptions and run Cash Flow Analysis to calculate Economic Indicators.</t>
    </r>
  </si>
  <si>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</si>
  <si>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</si>
  <si>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</si>
  <si>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</si>
  <si>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</si>
  <si>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</si>
  <si>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</si>
  <si>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</si>
  <si>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</si>
  <si>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</si>
  <si>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More 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</si>
</sst>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u/>
      <sz val="11"/>
      <color theme="4"/>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0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alignment horizontal="center"/>
    </xf>
    <xf numFmtId="0" fontId="0"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11" fillId="0" borderId="0"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2" fillId="0" borderId="0" xfId="0" applyFont="1" applyBorder="1" applyAlignment="1">
      <alignment vertical="center"/>
    </xf>
    <xf numFmtId="0" fontId="13" fillId="0" borderId="0" xfId="0" applyFont="1" applyBorder="1" applyAlignment="1">
      <alignment vertical="center"/>
    </xf>
    <xf numFmtId="0" fontId="67" fillId="0" borderId="0" xfId="0" applyFont="1" applyBorder="1" applyAlignment="1">
      <alignment vertical="center"/>
    </xf>
    <xf numFmtId="0" fontId="68" fillId="0" borderId="0" xfId="0" applyFont="1" applyBorder="1" applyAlignment="1">
      <alignment vertical="center"/>
    </xf>
    <xf numFmtId="0" fontId="66" fillId="0" borderId="0" xfId="0" applyFont="1" applyBorder="1" applyAlignment="1">
      <alignment horizontal="center"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13" fillId="0" borderId="0" xfId="0" applyFont="1" applyBorder="1" applyAlignment="1">
      <alignment horizontal="center" vertical="center"/>
    </xf>
    <xf numFmtId="0" fontId="66" fillId="0" borderId="10" xfId="0" applyFont="1" applyBorder="1" applyAlignment="1">
      <alignment horizontal="center" vertical="center"/>
    </xf>
    <xf numFmtId="0" fontId="12" fillId="0" borderId="0" xfId="0" applyFont="1" applyFill="1" applyBorder="1" applyAlignment="1">
      <alignment vertical="center"/>
    </xf>
    <xf numFmtId="0" fontId="13" fillId="0" borderId="0" xfId="0" applyFont="1"/>
    <xf numFmtId="0" fontId="11" fillId="0" borderId="0" xfId="0" applyFont="1" applyBorder="1" applyAlignment="1">
      <alignment vertical="center"/>
    </xf>
    <xf numFmtId="0" fontId="11" fillId="0" borderId="0" xfId="0" applyFont="1" applyBorder="1"/>
    <xf numFmtId="0" fontId="71" fillId="0" borderId="0" xfId="0" applyFont="1" applyBorder="1" applyAlignment="1">
      <alignment vertical="center"/>
    </xf>
    <xf numFmtId="0" fontId="71" fillId="0" borderId="0" xfId="0" applyFont="1" applyBorder="1" applyAlignment="1">
      <alignment horizontal="center" vertical="center"/>
    </xf>
    <xf numFmtId="0" fontId="71" fillId="0" borderId="0" xfId="0" applyFont="1" applyBorder="1"/>
    <xf numFmtId="0" fontId="12" fillId="0" borderId="0" xfId="0" applyFont="1"/>
    <xf numFmtId="0" fontId="11" fillId="0" borderId="0" xfId="0" applyFont="1"/>
    <xf numFmtId="0" fontId="13" fillId="0" borderId="0" xfId="0" applyFont="1" applyBorder="1" applyAlignment="1">
      <alignment horizontal="center"/>
    </xf>
    <xf numFmtId="0" fontId="71" fillId="0" borderId="0" xfId="0" applyFont="1"/>
    <xf numFmtId="0" fontId="74"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0" fontId="72" fillId="0" borderId="4" xfId="0" applyFont="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5"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12" fillId="0" borderId="0" xfId="0" applyFont="1" applyBorder="1" applyAlignment="1">
      <alignment horizontal="center" vertical="center"/>
    </xf>
    <xf numFmtId="0" fontId="12" fillId="0" borderId="0" xfId="0" applyFont="1" applyFill="1" applyBorder="1" applyAlignment="1">
      <alignment horizontal="center" vertical="center"/>
    </xf>
    <xf numFmtId="0" fontId="66" fillId="7" borderId="4"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10" fillId="7" borderId="4" xfId="0" applyFont="1" applyFill="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 xfId="0" applyFont="1" applyFill="1" applyBorder="1" applyAlignment="1">
      <alignment horizontal="center" vertical="center"/>
    </xf>
    <xf numFmtId="0" fontId="1" fillId="7"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23" fillId="2" borderId="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4"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3" fillId="2" borderId="1" xfId="0" applyFont="1" applyFill="1" applyBorder="1" applyAlignment="1">
      <alignment horizontal="center" vertical="center"/>
    </xf>
    <xf numFmtId="0" fontId="73" fillId="2" borderId="2" xfId="0" applyFont="1" applyFill="1" applyBorder="1" applyAlignment="1">
      <alignment horizontal="center" vertical="center"/>
    </xf>
    <xf numFmtId="0" fontId="73"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676275</xdr:colOff>
          <xdr:row>61</xdr:row>
          <xdr:rowOff>57150</xdr:rowOff>
        </xdr:from>
        <xdr:to>
          <xdr:col>19</xdr:col>
          <xdr:colOff>847725</xdr:colOff>
          <xdr:row>64</xdr:row>
          <xdr:rowOff>133350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666750</xdr:colOff>
          <xdr:row>65</xdr:row>
          <xdr:rowOff>57150</xdr:rowOff>
        </xdr:from>
        <xdr:to>
          <xdr:col>19</xdr:col>
          <xdr:colOff>828675</xdr:colOff>
          <xdr:row>68</xdr:row>
          <xdr:rowOff>85725</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666750</xdr:colOff>
          <xdr:row>69</xdr:row>
          <xdr:rowOff>57150</xdr:rowOff>
        </xdr:from>
        <xdr:to>
          <xdr:col>19</xdr:col>
          <xdr:colOff>828675</xdr:colOff>
          <xdr:row>72</xdr:row>
          <xdr:rowOff>57150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57</xdr:row>
      <xdr:rowOff>144246</xdr:rowOff>
    </xdr:from>
    <xdr:to>
      <xdr:col>18</xdr:col>
      <xdr:colOff>274607</xdr:colOff>
      <xdr:row>59</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61</xdr:row>
      <xdr:rowOff>132839</xdr:rowOff>
    </xdr:from>
    <xdr:to>
      <xdr:col>18</xdr:col>
      <xdr:colOff>268901</xdr:colOff>
      <xdr:row>63</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65</xdr:row>
      <xdr:rowOff>147509</xdr:rowOff>
    </xdr:from>
    <xdr:to>
      <xdr:col>18</xdr:col>
      <xdr:colOff>236301</xdr:colOff>
      <xdr:row>67</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695325</xdr:colOff>
          <xdr:row>57</xdr:row>
          <xdr:rowOff>9525</xdr:rowOff>
        </xdr:from>
        <xdr:to>
          <xdr:col>19</xdr:col>
          <xdr:colOff>857250</xdr:colOff>
          <xdr:row>60</xdr:row>
          <xdr:rowOff>142875</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69</xdr:row>
      <xdr:rowOff>207820</xdr:rowOff>
    </xdr:from>
    <xdr:to>
      <xdr:col>18</xdr:col>
      <xdr:colOff>198814</xdr:colOff>
      <xdr:row>71</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58</xdr:row>
          <xdr:rowOff>19050</xdr:rowOff>
        </xdr:from>
        <xdr:to>
          <xdr:col>23</xdr:col>
          <xdr:colOff>609600</xdr:colOff>
          <xdr:row>59</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58</xdr:row>
          <xdr:rowOff>28575</xdr:rowOff>
        </xdr:from>
        <xdr:to>
          <xdr:col>23</xdr:col>
          <xdr:colOff>1228725</xdr:colOff>
          <xdr:row>59</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19050</xdr:rowOff>
        </xdr:from>
        <xdr:to>
          <xdr:col>23</xdr:col>
          <xdr:colOff>609600</xdr:colOff>
          <xdr:row>63</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62</xdr:row>
          <xdr:rowOff>28575</xdr:rowOff>
        </xdr:from>
        <xdr:to>
          <xdr:col>23</xdr:col>
          <xdr:colOff>1228725</xdr:colOff>
          <xdr:row>63</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19050</xdr:rowOff>
        </xdr:from>
        <xdr:to>
          <xdr:col>23</xdr:col>
          <xdr:colOff>609600</xdr:colOff>
          <xdr:row>67</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66</xdr:row>
          <xdr:rowOff>28575</xdr:rowOff>
        </xdr:from>
        <xdr:to>
          <xdr:col>23</xdr:col>
          <xdr:colOff>1228725</xdr:colOff>
          <xdr:row>67</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datacommons.org/licenses/odbl/summary/"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D41"/>
  <sheetViews>
    <sheetView showGridLines="0" tabSelected="1" topLeftCell="A7" zoomScale="85" zoomScaleNormal="85" workbookViewId="0">
      <selection activeCell="D32" sqref="D32"/>
    </sheetView>
  </sheetViews>
  <sheetFormatPr defaultRowHeight="15" x14ac:dyDescent="0.25"/>
  <cols>
    <col min="1" max="3" width="2.85546875" customWidth="1"/>
    <col min="4" max="14" width="9.28515625" customWidth="1"/>
    <col min="15" max="17" width="2.85546875" customWidth="1"/>
    <col min="18" max="22" width="9.28515625" customWidth="1"/>
    <col min="23" max="24" width="2.85546875" customWidth="1"/>
    <col min="30" max="30" width="8.85546875" customWidth="1"/>
    <col min="31" max="31" width="4" customWidth="1"/>
  </cols>
  <sheetData>
    <row r="1" spans="2:30" ht="17.45" customHeight="1" x14ac:dyDescent="0.25"/>
    <row r="2" spans="2:30" ht="17.45" customHeight="1" x14ac:dyDescent="0.25">
      <c r="B2" s="654"/>
      <c r="C2" s="333"/>
      <c r="D2" s="699"/>
      <c r="E2" s="699"/>
      <c r="F2" s="699"/>
      <c r="G2" s="699"/>
      <c r="H2" s="699"/>
      <c r="I2" s="699"/>
      <c r="J2" s="699"/>
      <c r="K2" s="699"/>
      <c r="L2" s="699"/>
      <c r="M2" s="699"/>
      <c r="N2" s="699"/>
      <c r="O2" s="699"/>
      <c r="P2" s="699"/>
      <c r="Q2" s="699"/>
      <c r="R2" s="699"/>
      <c r="S2" s="699"/>
      <c r="T2" s="699"/>
      <c r="U2" s="699"/>
      <c r="V2" s="699"/>
      <c r="W2" s="699"/>
      <c r="X2" s="700"/>
      <c r="Y2" s="222"/>
      <c r="Z2" s="222"/>
      <c r="AA2" s="222"/>
      <c r="AB2" s="222"/>
      <c r="AC2" s="222"/>
      <c r="AD2" s="222"/>
    </row>
    <row r="3" spans="2:30" ht="17.45" customHeight="1" x14ac:dyDescent="0.25">
      <c r="B3" s="91"/>
      <c r="C3" s="801" t="s">
        <v>713</v>
      </c>
      <c r="D3" s="801"/>
      <c r="E3" s="801"/>
      <c r="F3" s="801"/>
      <c r="G3" s="801"/>
      <c r="H3" s="801"/>
      <c r="I3" s="801"/>
      <c r="J3" s="801"/>
      <c r="K3" s="801"/>
      <c r="L3" s="801"/>
      <c r="M3" s="801"/>
      <c r="N3" s="801"/>
      <c r="O3" s="801"/>
      <c r="P3" s="801"/>
      <c r="Q3" s="801"/>
      <c r="R3" s="801"/>
      <c r="S3" s="801"/>
      <c r="T3" s="801"/>
      <c r="U3" s="801"/>
      <c r="V3" s="801"/>
      <c r="W3" s="801"/>
      <c r="X3" s="716"/>
      <c r="Y3" s="709"/>
      <c r="Z3" s="709"/>
      <c r="AA3" s="709"/>
      <c r="AB3" s="709"/>
      <c r="AC3" s="709"/>
      <c r="AD3" s="222"/>
    </row>
    <row r="4" spans="2:30" ht="17.45" customHeight="1" x14ac:dyDescent="0.25">
      <c r="B4" s="91"/>
      <c r="C4" s="801"/>
      <c r="D4" s="801"/>
      <c r="E4" s="801"/>
      <c r="F4" s="801"/>
      <c r="G4" s="801"/>
      <c r="H4" s="801"/>
      <c r="I4" s="801"/>
      <c r="J4" s="801"/>
      <c r="K4" s="801"/>
      <c r="L4" s="801"/>
      <c r="M4" s="801"/>
      <c r="N4" s="801"/>
      <c r="O4" s="801"/>
      <c r="P4" s="801"/>
      <c r="Q4" s="801"/>
      <c r="R4" s="801"/>
      <c r="S4" s="801"/>
      <c r="T4" s="801"/>
      <c r="U4" s="801"/>
      <c r="V4" s="801"/>
      <c r="W4" s="801"/>
      <c r="X4" s="701"/>
      <c r="Y4" s="222"/>
      <c r="Z4" s="222"/>
      <c r="AA4" s="222"/>
      <c r="AB4" s="222"/>
      <c r="AC4" s="222"/>
      <c r="AD4" s="222"/>
    </row>
    <row r="5" spans="2:30" ht="17.45" customHeight="1" x14ac:dyDescent="0.25">
      <c r="B5" s="91"/>
      <c r="C5" s="801"/>
      <c r="D5" s="801"/>
      <c r="E5" s="801"/>
      <c r="F5" s="801"/>
      <c r="G5" s="801"/>
      <c r="H5" s="801"/>
      <c r="I5" s="801"/>
      <c r="J5" s="801"/>
      <c r="K5" s="801"/>
      <c r="L5" s="801"/>
      <c r="M5" s="801"/>
      <c r="N5" s="801"/>
      <c r="O5" s="801"/>
      <c r="P5" s="801"/>
      <c r="Q5" s="801"/>
      <c r="R5" s="801"/>
      <c r="S5" s="801"/>
      <c r="T5" s="801"/>
      <c r="U5" s="801"/>
      <c r="V5" s="801"/>
      <c r="W5" s="801"/>
      <c r="X5" s="701"/>
      <c r="Y5" s="222"/>
      <c r="Z5" s="222"/>
      <c r="AA5" s="222"/>
      <c r="AB5" s="222"/>
      <c r="AC5" s="222"/>
      <c r="AD5" s="222"/>
    </row>
    <row r="6" spans="2:30" ht="17.45" customHeight="1" x14ac:dyDescent="0.25">
      <c r="B6" s="91"/>
      <c r="C6" s="222"/>
      <c r="D6" s="222"/>
      <c r="E6" s="222"/>
      <c r="F6" s="222"/>
      <c r="G6" s="222"/>
      <c r="H6" s="222"/>
      <c r="I6" s="222"/>
      <c r="J6" s="222"/>
      <c r="M6" s="707"/>
      <c r="N6" s="222"/>
      <c r="P6" s="222"/>
      <c r="Q6" s="222"/>
      <c r="R6" s="222"/>
      <c r="W6" s="222"/>
      <c r="X6" s="701"/>
      <c r="Y6" s="222"/>
      <c r="Z6" s="222"/>
      <c r="AA6" s="222"/>
      <c r="AB6" s="222"/>
      <c r="AC6" s="222"/>
      <c r="AD6" s="222"/>
    </row>
    <row r="7" spans="2:30" ht="17.45" customHeight="1" x14ac:dyDescent="0.3">
      <c r="B7" s="91"/>
      <c r="C7" s="222"/>
      <c r="D7" s="222"/>
      <c r="E7" s="222"/>
      <c r="F7" s="92"/>
      <c r="G7" s="92"/>
      <c r="H7" s="715"/>
      <c r="I7" s="708"/>
      <c r="J7" s="723"/>
      <c r="K7" s="721"/>
      <c r="L7" s="722" t="s">
        <v>718</v>
      </c>
      <c r="M7" s="721"/>
      <c r="N7" s="727"/>
      <c r="O7" s="92"/>
      <c r="P7" s="708"/>
      <c r="Q7" s="708"/>
      <c r="R7" s="708"/>
      <c r="W7" s="222"/>
      <c r="X7" s="701"/>
      <c r="Y7" s="222"/>
      <c r="Z7" s="222"/>
      <c r="AA7" s="222"/>
      <c r="AB7" s="222"/>
      <c r="AC7" s="222"/>
      <c r="AD7" s="222"/>
    </row>
    <row r="8" spans="2:30" ht="17.45" customHeight="1" x14ac:dyDescent="0.3">
      <c r="B8" s="91"/>
      <c r="C8" s="222"/>
      <c r="D8" s="92"/>
      <c r="E8" s="92"/>
      <c r="F8" s="92"/>
      <c r="J8" s="723"/>
      <c r="K8" s="721"/>
      <c r="L8" s="722" t="s">
        <v>709</v>
      </c>
      <c r="M8" s="721"/>
      <c r="N8" s="727"/>
      <c r="O8" s="92"/>
      <c r="P8" s="92"/>
      <c r="Q8" s="92"/>
      <c r="R8" s="92"/>
      <c r="S8" s="92"/>
      <c r="T8" s="92"/>
      <c r="U8" s="92"/>
      <c r="V8" s="92"/>
      <c r="W8" s="92"/>
      <c r="X8" s="84"/>
      <c r="AD8" s="222"/>
    </row>
    <row r="9" spans="2:30" ht="17.45" customHeight="1" x14ac:dyDescent="0.3">
      <c r="B9" s="91"/>
      <c r="C9" s="222"/>
      <c r="D9" s="92"/>
      <c r="E9" s="92"/>
      <c r="F9" s="92"/>
      <c r="J9" s="721"/>
      <c r="K9" s="721"/>
      <c r="L9" s="722" t="s">
        <v>710</v>
      </c>
      <c r="M9" s="723"/>
      <c r="N9" s="727"/>
      <c r="O9" s="92"/>
      <c r="P9" s="92"/>
      <c r="Q9" s="92"/>
      <c r="R9" s="92"/>
      <c r="S9" s="92"/>
      <c r="T9" s="92"/>
      <c r="U9" s="92"/>
      <c r="V9" s="92"/>
      <c r="W9" s="92"/>
      <c r="X9" s="84"/>
      <c r="AD9" s="222"/>
    </row>
    <row r="10" spans="2:30" ht="17.45" customHeight="1" x14ac:dyDescent="0.25">
      <c r="B10" s="91"/>
      <c r="C10" s="222"/>
      <c r="D10" s="222"/>
      <c r="E10" s="222"/>
      <c r="F10" s="222"/>
      <c r="L10" s="715"/>
      <c r="M10" s="92"/>
      <c r="N10" s="92"/>
      <c r="O10" s="92"/>
      <c r="P10" s="708"/>
      <c r="Q10" s="708"/>
      <c r="R10" s="708"/>
      <c r="S10" s="708"/>
      <c r="T10" s="708"/>
      <c r="U10" s="708"/>
      <c r="V10" s="222"/>
      <c r="W10" s="222"/>
      <c r="X10" s="701"/>
      <c r="Y10" s="222"/>
      <c r="Z10" s="222"/>
      <c r="AA10" s="222"/>
      <c r="AB10" s="222"/>
      <c r="AC10" s="222"/>
      <c r="AD10" s="222"/>
    </row>
    <row r="11" spans="2:30" ht="17.45" customHeight="1" x14ac:dyDescent="0.3">
      <c r="B11" s="91"/>
      <c r="C11" s="222"/>
      <c r="D11" s="222"/>
      <c r="E11" s="222"/>
      <c r="F11" s="222"/>
      <c r="G11" s="222"/>
      <c r="H11" s="222"/>
      <c r="I11" s="706"/>
      <c r="J11" s="720"/>
      <c r="K11" s="725"/>
      <c r="L11" s="698" t="s">
        <v>711</v>
      </c>
      <c r="M11" s="698"/>
      <c r="N11" s="698"/>
      <c r="O11" s="698"/>
      <c r="P11" s="715"/>
      <c r="Q11" s="696"/>
      <c r="R11" s="222"/>
      <c r="S11" s="222"/>
      <c r="T11" s="222"/>
      <c r="U11" s="222"/>
      <c r="V11" s="222"/>
      <c r="W11" s="222"/>
      <c r="X11" s="701"/>
      <c r="Y11" s="222"/>
      <c r="Z11" s="222"/>
      <c r="AA11" s="222"/>
      <c r="AB11" s="222"/>
      <c r="AC11" s="222"/>
      <c r="AD11" s="222"/>
    </row>
    <row r="12" spans="2:30" ht="17.45" customHeight="1" x14ac:dyDescent="0.3">
      <c r="B12" s="91"/>
      <c r="C12" s="222"/>
      <c r="I12" s="718"/>
      <c r="J12" s="719"/>
      <c r="K12" s="725"/>
      <c r="L12" s="698" t="s">
        <v>712</v>
      </c>
      <c r="M12" s="213"/>
      <c r="N12" s="213"/>
      <c r="O12" s="213"/>
      <c r="P12" s="726"/>
      <c r="Q12" s="696"/>
      <c r="R12" s="222"/>
      <c r="S12" s="222"/>
      <c r="T12" s="222"/>
      <c r="U12" s="222"/>
      <c r="V12" s="222"/>
      <c r="W12" s="222"/>
      <c r="X12" s="701"/>
      <c r="Y12" s="222"/>
      <c r="Z12" s="222"/>
      <c r="AA12" s="222"/>
      <c r="AB12" s="222"/>
      <c r="AC12" s="222"/>
      <c r="AD12" s="222"/>
    </row>
    <row r="13" spans="2:30" ht="17.45" customHeight="1" x14ac:dyDescent="0.25">
      <c r="B13" s="91"/>
      <c r="C13" s="222"/>
      <c r="I13" s="724"/>
      <c r="J13" s="705"/>
      <c r="K13" s="724"/>
      <c r="L13" s="144" t="s">
        <v>729</v>
      </c>
      <c r="M13" s="144"/>
      <c r="N13" s="144"/>
      <c r="O13" s="144"/>
      <c r="P13" s="144"/>
      <c r="Q13" s="144"/>
      <c r="R13" s="705"/>
      <c r="S13" s="222"/>
      <c r="T13" s="222"/>
      <c r="U13" s="222"/>
      <c r="V13" s="222"/>
      <c r="W13" s="222"/>
      <c r="X13" s="701"/>
      <c r="Y13" s="222"/>
      <c r="Z13" s="222"/>
      <c r="AA13" s="222"/>
      <c r="AB13" s="222"/>
      <c r="AC13" s="222"/>
      <c r="AD13" s="222"/>
    </row>
    <row r="14" spans="2:30" ht="17.45" customHeight="1" x14ac:dyDescent="0.25">
      <c r="B14" s="91"/>
      <c r="C14" s="222"/>
      <c r="J14" s="222"/>
      <c r="K14" s="222"/>
      <c r="L14" s="222"/>
      <c r="M14" s="222"/>
      <c r="N14" s="222"/>
      <c r="O14" s="222"/>
      <c r="P14" s="222"/>
      <c r="Q14" s="222"/>
      <c r="W14" s="222"/>
      <c r="X14" s="701"/>
      <c r="Y14" s="222"/>
      <c r="Z14" s="222"/>
      <c r="AA14" s="222"/>
      <c r="AB14" s="222"/>
      <c r="AC14" s="222"/>
      <c r="AD14" s="222"/>
    </row>
    <row r="15" spans="2:30" ht="17.45" customHeight="1" x14ac:dyDescent="0.25">
      <c r="B15" s="91"/>
      <c r="C15" s="825" t="s">
        <v>733</v>
      </c>
      <c r="D15" s="825"/>
      <c r="E15" s="825"/>
      <c r="F15" s="732" t="s">
        <v>714</v>
      </c>
      <c r="G15" s="92"/>
      <c r="H15" s="92"/>
      <c r="I15" s="92"/>
      <c r="J15" s="92"/>
      <c r="K15" s="92"/>
      <c r="L15" s="92"/>
      <c r="M15" s="92"/>
      <c r="N15" s="92"/>
      <c r="O15" s="92"/>
      <c r="P15" s="92"/>
      <c r="Q15" s="92"/>
      <c r="W15" s="92"/>
      <c r="X15" s="84"/>
      <c r="Y15" s="92"/>
      <c r="Z15" s="92"/>
      <c r="AA15" s="92"/>
      <c r="AB15" s="92"/>
      <c r="AC15" s="92"/>
      <c r="AD15" s="222"/>
    </row>
    <row r="16" spans="2:30" ht="17.45" customHeight="1" x14ac:dyDescent="0.25">
      <c r="B16" s="91"/>
      <c r="C16" s="222"/>
      <c r="D16" s="222"/>
      <c r="E16" s="222"/>
      <c r="F16" s="222"/>
      <c r="G16" s="222"/>
      <c r="H16" s="222"/>
      <c r="I16" s="222"/>
      <c r="J16" s="222"/>
      <c r="K16" s="222"/>
      <c r="L16" s="222"/>
      <c r="M16" s="222"/>
      <c r="N16" s="222"/>
      <c r="O16" s="222"/>
      <c r="P16" s="222"/>
      <c r="Q16" s="222"/>
      <c r="R16" s="222"/>
      <c r="S16" s="222"/>
      <c r="T16" s="222"/>
      <c r="U16" s="222"/>
      <c r="V16" s="222"/>
      <c r="W16" s="222"/>
      <c r="X16" s="701"/>
      <c r="Y16" s="222"/>
      <c r="Z16" s="222"/>
      <c r="AA16" s="222"/>
      <c r="AB16" s="222"/>
      <c r="AC16" s="222"/>
      <c r="AD16" s="222"/>
    </row>
    <row r="17" spans="2:30" ht="17.45" customHeight="1" x14ac:dyDescent="0.25">
      <c r="B17" s="91"/>
      <c r="C17" s="415"/>
      <c r="D17" s="699"/>
      <c r="E17" s="699"/>
      <c r="F17" s="699"/>
      <c r="G17" s="699"/>
      <c r="H17" s="699"/>
      <c r="I17" s="699"/>
      <c r="J17" s="699"/>
      <c r="K17" s="699"/>
      <c r="L17" s="699"/>
      <c r="M17" s="699"/>
      <c r="N17" s="699"/>
      <c r="O17" s="700"/>
      <c r="P17" s="222"/>
      <c r="Q17" s="415"/>
      <c r="R17" s="699"/>
      <c r="S17" s="699"/>
      <c r="T17" s="699"/>
      <c r="U17" s="699"/>
      <c r="V17" s="699"/>
      <c r="W17" s="700"/>
      <c r="X17" s="701"/>
      <c r="Y17" s="222"/>
      <c r="Z17" s="222"/>
      <c r="AA17" s="222"/>
      <c r="AB17" s="222"/>
      <c r="AC17" s="222"/>
      <c r="AD17" s="222"/>
    </row>
    <row r="18" spans="2:30" ht="17.45" customHeight="1" x14ac:dyDescent="0.25">
      <c r="B18" s="91"/>
      <c r="C18" s="403"/>
      <c r="D18" s="822" t="s">
        <v>716</v>
      </c>
      <c r="E18" s="823"/>
      <c r="F18" s="823"/>
      <c r="G18" s="823"/>
      <c r="H18" s="823"/>
      <c r="I18" s="823"/>
      <c r="J18" s="823"/>
      <c r="K18" s="824"/>
      <c r="L18" s="802" t="s">
        <v>714</v>
      </c>
      <c r="M18" s="803"/>
      <c r="N18" s="804"/>
      <c r="O18" s="701"/>
      <c r="P18" s="222"/>
      <c r="Q18" s="403"/>
      <c r="R18" s="820" t="s">
        <v>725</v>
      </c>
      <c r="S18" s="821"/>
      <c r="T18" s="817" t="s">
        <v>720</v>
      </c>
      <c r="U18" s="818"/>
      <c r="V18" s="819"/>
      <c r="W18" s="701"/>
      <c r="X18" s="701"/>
      <c r="Y18" s="222"/>
      <c r="Z18" s="222"/>
      <c r="AA18" s="222"/>
      <c r="AB18" s="222"/>
      <c r="AC18" s="222"/>
      <c r="AD18" s="222"/>
    </row>
    <row r="19" spans="2:30" ht="17.45" customHeight="1" x14ac:dyDescent="0.25">
      <c r="B19" s="91"/>
      <c r="C19" s="403"/>
      <c r="D19" s="222"/>
      <c r="E19" s="222"/>
      <c r="F19" s="222"/>
      <c r="G19" s="222"/>
      <c r="H19" s="92"/>
      <c r="I19" s="708"/>
      <c r="J19" s="708"/>
      <c r="K19" s="708"/>
      <c r="L19" s="708"/>
      <c r="M19" s="708"/>
      <c r="N19" s="708"/>
      <c r="O19" s="701"/>
      <c r="P19" s="222"/>
      <c r="Q19" s="403"/>
      <c r="R19" s="820" t="s">
        <v>726</v>
      </c>
      <c r="S19" s="821"/>
      <c r="T19" s="817" t="s">
        <v>722</v>
      </c>
      <c r="U19" s="818"/>
      <c r="V19" s="819"/>
      <c r="W19" s="701"/>
      <c r="X19" s="701"/>
      <c r="Y19" s="222"/>
      <c r="Z19" s="222"/>
      <c r="AA19" s="222"/>
      <c r="AB19" s="222"/>
      <c r="AC19" s="222"/>
      <c r="AD19" s="222"/>
    </row>
    <row r="20" spans="2:30" ht="17.45" customHeight="1" x14ac:dyDescent="0.25">
      <c r="B20" s="91"/>
      <c r="C20" s="403"/>
      <c r="D20" s="705" t="s">
        <v>735</v>
      </c>
      <c r="E20" s="705"/>
      <c r="F20" s="705"/>
      <c r="G20" s="705"/>
      <c r="H20" s="345"/>
      <c r="I20" s="705"/>
      <c r="J20" s="705"/>
      <c r="K20" s="705"/>
      <c r="L20" s="705"/>
      <c r="M20" s="705"/>
      <c r="N20" s="705"/>
      <c r="O20" s="701"/>
      <c r="P20" s="222"/>
      <c r="Q20" s="403"/>
      <c r="R20" s="820" t="s">
        <v>727</v>
      </c>
      <c r="S20" s="821"/>
      <c r="T20" s="817" t="s">
        <v>723</v>
      </c>
      <c r="U20" s="818"/>
      <c r="V20" s="819"/>
      <c r="W20" s="701"/>
      <c r="X20" s="701"/>
      <c r="Y20" s="222"/>
      <c r="Z20" s="222"/>
      <c r="AA20" s="222"/>
      <c r="AB20" s="222"/>
      <c r="AC20" s="222"/>
      <c r="AD20" s="222"/>
    </row>
    <row r="21" spans="2:30" ht="17.45" customHeight="1" x14ac:dyDescent="0.25">
      <c r="B21" s="91"/>
      <c r="C21" s="403"/>
      <c r="D21" s="705" t="s">
        <v>734</v>
      </c>
      <c r="E21" s="705"/>
      <c r="F21" s="705"/>
      <c r="G21" s="705"/>
      <c r="H21" s="345"/>
      <c r="I21" s="705"/>
      <c r="J21" s="705"/>
      <c r="K21" s="705"/>
      <c r="L21" s="705"/>
      <c r="M21" s="705"/>
      <c r="N21" s="705"/>
      <c r="O21" s="701"/>
      <c r="P21" s="222"/>
      <c r="Q21" s="403"/>
      <c r="R21" s="820" t="s">
        <v>728</v>
      </c>
      <c r="S21" s="821"/>
      <c r="T21" s="802" t="s">
        <v>714</v>
      </c>
      <c r="U21" s="803"/>
      <c r="V21" s="804"/>
      <c r="W21" s="701"/>
      <c r="X21" s="701"/>
      <c r="Y21" s="222"/>
      <c r="Z21" s="222"/>
      <c r="AA21" s="222"/>
      <c r="AB21" s="222"/>
      <c r="AC21" s="222"/>
      <c r="AD21" s="222"/>
    </row>
    <row r="22" spans="2:30" ht="17.45" customHeight="1" x14ac:dyDescent="0.25">
      <c r="B22" s="91"/>
      <c r="C22" s="403"/>
      <c r="D22" s="799" t="s">
        <v>724</v>
      </c>
      <c r="E22" s="799"/>
      <c r="F22" s="799"/>
      <c r="G22" s="705"/>
      <c r="H22" s="705"/>
      <c r="I22" s="705"/>
      <c r="J22" s="705"/>
      <c r="K22" s="705"/>
      <c r="L22" s="705"/>
      <c r="M22" s="705"/>
      <c r="N22" s="705"/>
      <c r="O22" s="701"/>
      <c r="P22" s="222"/>
      <c r="Q22" s="403"/>
      <c r="W22" s="701"/>
      <c r="X22" s="701"/>
      <c r="Y22" s="222"/>
      <c r="Z22" s="222"/>
      <c r="AA22" s="222"/>
      <c r="AB22" s="222"/>
      <c r="AC22" s="222"/>
      <c r="AD22" s="222"/>
    </row>
    <row r="23" spans="2:30" ht="17.45" customHeight="1" x14ac:dyDescent="0.25">
      <c r="B23" s="91"/>
      <c r="C23" s="403"/>
      <c r="D23" s="800" t="s">
        <v>719</v>
      </c>
      <c r="E23" s="800"/>
      <c r="F23" s="800"/>
      <c r="G23" s="705"/>
      <c r="H23" s="705"/>
      <c r="I23" s="705"/>
      <c r="J23" s="705"/>
      <c r="K23" s="705"/>
      <c r="L23" s="705"/>
      <c r="M23" s="705"/>
      <c r="N23" s="705"/>
      <c r="O23" s="701"/>
      <c r="P23" s="222"/>
      <c r="Q23" s="403"/>
      <c r="R23" s="814" t="s">
        <v>721</v>
      </c>
      <c r="S23" s="815"/>
      <c r="T23" s="815"/>
      <c r="U23" s="815"/>
      <c r="V23" s="816"/>
      <c r="W23" s="701"/>
      <c r="X23" s="701"/>
      <c r="Y23" s="222"/>
      <c r="Z23" s="222"/>
      <c r="AA23" s="222"/>
      <c r="AB23" s="222"/>
      <c r="AC23" s="222"/>
      <c r="AD23" s="222"/>
    </row>
    <row r="24" spans="2:30" ht="17.45" customHeight="1" x14ac:dyDescent="0.25">
      <c r="B24" s="91"/>
      <c r="C24" s="403"/>
      <c r="D24" s="717" t="s">
        <v>739</v>
      </c>
      <c r="E24" s="705"/>
      <c r="F24" s="705"/>
      <c r="G24" s="705"/>
      <c r="H24" s="705"/>
      <c r="I24" s="705"/>
      <c r="J24" s="705"/>
      <c r="K24" s="705"/>
      <c r="L24" s="705"/>
      <c r="M24" s="705"/>
      <c r="N24" s="705"/>
      <c r="O24" s="701"/>
      <c r="P24" s="222"/>
      <c r="Q24" s="403"/>
      <c r="R24" s="805" t="s">
        <v>736</v>
      </c>
      <c r="S24" s="806"/>
      <c r="T24" s="806"/>
      <c r="U24" s="806"/>
      <c r="V24" s="807"/>
      <c r="W24" s="701"/>
      <c r="X24" s="701"/>
      <c r="Y24" s="222"/>
      <c r="Z24" s="222"/>
      <c r="AA24" s="222"/>
      <c r="AB24" s="222"/>
      <c r="AC24" s="222"/>
      <c r="AD24" s="222"/>
    </row>
    <row r="25" spans="2:30" ht="17.45" customHeight="1" x14ac:dyDescent="0.25">
      <c r="B25" s="91"/>
      <c r="C25" s="403"/>
      <c r="D25" s="717" t="s">
        <v>740</v>
      </c>
      <c r="E25" s="705"/>
      <c r="F25" s="705"/>
      <c r="G25" s="705"/>
      <c r="H25" s="705"/>
      <c r="I25" s="705"/>
      <c r="J25" s="705"/>
      <c r="K25" s="705"/>
      <c r="L25" s="705"/>
      <c r="M25" s="705"/>
      <c r="N25" s="705"/>
      <c r="O25" s="701"/>
      <c r="P25" s="222"/>
      <c r="Q25" s="403"/>
      <c r="R25" s="808"/>
      <c r="S25" s="809"/>
      <c r="T25" s="809"/>
      <c r="U25" s="809"/>
      <c r="V25" s="810"/>
      <c r="W25" s="701"/>
      <c r="X25" s="701"/>
      <c r="Y25" s="222"/>
      <c r="Z25" s="222"/>
      <c r="AA25" s="222"/>
      <c r="AB25" s="222"/>
      <c r="AC25" s="222"/>
      <c r="AD25" s="222"/>
    </row>
    <row r="26" spans="2:30" ht="17.45" customHeight="1" x14ac:dyDescent="0.25">
      <c r="B26" s="91"/>
      <c r="C26" s="403"/>
      <c r="D26" s="705" t="s">
        <v>730</v>
      </c>
      <c r="E26" s="705"/>
      <c r="F26" s="705"/>
      <c r="G26" s="705"/>
      <c r="H26" s="705"/>
      <c r="I26" s="705"/>
      <c r="J26" s="705"/>
      <c r="K26" s="705"/>
      <c r="L26" s="705"/>
      <c r="M26" s="705"/>
      <c r="N26" s="705"/>
      <c r="O26" s="701"/>
      <c r="P26" s="222"/>
      <c r="Q26" s="403"/>
      <c r="R26" s="808"/>
      <c r="S26" s="809"/>
      <c r="T26" s="809"/>
      <c r="U26" s="809"/>
      <c r="V26" s="810"/>
      <c r="W26" s="701"/>
      <c r="X26" s="701"/>
      <c r="Y26" s="222"/>
      <c r="Z26" s="222"/>
      <c r="AA26" s="222"/>
      <c r="AB26" s="222"/>
      <c r="AC26" s="222"/>
      <c r="AD26" s="222"/>
    </row>
    <row r="27" spans="2:30" ht="17.45" customHeight="1" x14ac:dyDescent="0.25">
      <c r="B27" s="91"/>
      <c r="C27" s="403"/>
      <c r="D27" s="705" t="s">
        <v>752</v>
      </c>
      <c r="E27" s="705"/>
      <c r="F27" s="705"/>
      <c r="G27" s="705"/>
      <c r="H27" s="705"/>
      <c r="I27" s="705"/>
      <c r="J27" s="705"/>
      <c r="K27" s="705"/>
      <c r="L27" s="705"/>
      <c r="M27" s="705"/>
      <c r="N27" s="705"/>
      <c r="O27" s="701"/>
      <c r="P27" s="222"/>
      <c r="Q27" s="403"/>
      <c r="R27" s="811"/>
      <c r="S27" s="812"/>
      <c r="T27" s="812"/>
      <c r="U27" s="812"/>
      <c r="V27" s="813"/>
      <c r="W27" s="701"/>
      <c r="X27" s="701"/>
      <c r="Y27" s="222"/>
      <c r="Z27" s="222"/>
      <c r="AA27" s="222"/>
      <c r="AB27" s="222"/>
      <c r="AC27" s="222"/>
      <c r="AD27" s="222"/>
    </row>
    <row r="28" spans="2:30" ht="17.45" customHeight="1" x14ac:dyDescent="0.25">
      <c r="B28" s="91"/>
      <c r="C28" s="702"/>
      <c r="D28" s="703"/>
      <c r="E28" s="703"/>
      <c r="F28" s="703"/>
      <c r="G28" s="703"/>
      <c r="H28" s="703"/>
      <c r="I28" s="703"/>
      <c r="J28" s="703"/>
      <c r="K28" s="703"/>
      <c r="L28" s="703"/>
      <c r="M28" s="703"/>
      <c r="N28" s="703"/>
      <c r="O28" s="704"/>
      <c r="P28" s="222"/>
      <c r="Q28" s="702"/>
      <c r="R28" s="703"/>
      <c r="S28" s="703"/>
      <c r="T28" s="703"/>
      <c r="U28" s="703"/>
      <c r="V28" s="703"/>
      <c r="W28" s="704"/>
      <c r="X28" s="701"/>
      <c r="Y28" s="222"/>
      <c r="Z28" s="222"/>
      <c r="AA28" s="222"/>
      <c r="AB28" s="222"/>
      <c r="AC28" s="222"/>
      <c r="AD28" s="222"/>
    </row>
    <row r="29" spans="2:30" ht="17.45" customHeight="1" x14ac:dyDescent="0.25">
      <c r="B29" s="399"/>
      <c r="C29" s="703"/>
      <c r="D29" s="703"/>
      <c r="E29" s="703"/>
      <c r="F29" s="703"/>
      <c r="G29" s="703"/>
      <c r="H29" s="703"/>
      <c r="I29" s="703"/>
      <c r="J29" s="703"/>
      <c r="K29" s="703"/>
      <c r="L29" s="703"/>
      <c r="M29" s="703"/>
      <c r="N29" s="703"/>
      <c r="O29" s="703"/>
      <c r="P29" s="703"/>
      <c r="Q29" s="703"/>
      <c r="R29" s="703"/>
      <c r="S29" s="703"/>
      <c r="T29" s="703"/>
      <c r="U29" s="703"/>
      <c r="V29" s="703"/>
      <c r="W29" s="703"/>
      <c r="X29" s="704"/>
      <c r="Y29" s="222"/>
      <c r="Z29" s="222"/>
      <c r="AA29" s="222"/>
      <c r="AB29" s="222"/>
      <c r="AC29" s="222"/>
      <c r="AD29" s="222"/>
    </row>
    <row r="30" spans="2:30" ht="17.45" customHeight="1" x14ac:dyDescent="0.25">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row>
    <row r="31" spans="2:30" ht="18.600000000000001" customHeight="1" x14ac:dyDescent="0.25">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row>
    <row r="32" spans="2:30" ht="18.600000000000001" customHeight="1" x14ac:dyDescent="0.25">
      <c r="C32" s="222"/>
      <c r="D32" s="222" t="s">
        <v>763</v>
      </c>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row>
    <row r="33" spans="3:30" ht="18.600000000000001" customHeight="1" x14ac:dyDescent="0.25">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row>
    <row r="34" spans="3:30" ht="18.600000000000001" customHeight="1" x14ac:dyDescent="0.25">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row>
    <row r="35" spans="3:30" ht="18.600000000000001" customHeight="1" x14ac:dyDescent="0.25">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row>
    <row r="36" spans="3:30" ht="18.600000000000001" customHeight="1" x14ac:dyDescent="0.25">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row>
    <row r="37" spans="3:30" ht="18.600000000000001" customHeight="1" x14ac:dyDescent="0.25">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row>
    <row r="38" spans="3:30" ht="18.600000000000001" customHeight="1" x14ac:dyDescent="0.25">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row>
    <row r="39" spans="3:30" ht="18.600000000000001" customHeight="1" x14ac:dyDescent="0.25">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row>
    <row r="40" spans="3:30" ht="18.600000000000001" customHeight="1" x14ac:dyDescent="0.25">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row>
    <row r="41" spans="3:30" ht="18.600000000000001" customHeight="1" x14ac:dyDescent="0.25">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row>
  </sheetData>
  <mergeCells count="16">
    <mergeCell ref="D22:F22"/>
    <mergeCell ref="D23:F23"/>
    <mergeCell ref="C3:W5"/>
    <mergeCell ref="L18:N18"/>
    <mergeCell ref="R24:V27"/>
    <mergeCell ref="R23:V23"/>
    <mergeCell ref="T18:V18"/>
    <mergeCell ref="R21:S21"/>
    <mergeCell ref="R20:S20"/>
    <mergeCell ref="T20:V20"/>
    <mergeCell ref="T21:V21"/>
    <mergeCell ref="D18:K18"/>
    <mergeCell ref="T19:V19"/>
    <mergeCell ref="C15:E15"/>
    <mergeCell ref="R18:S18"/>
    <mergeCell ref="R19:S19"/>
  </mergeCells>
  <hyperlinks>
    <hyperlink ref="T21:V21" r:id="rId1" display="Link" xr:uid="{256787A9-AC22-4954-9EF1-B518297AFC65}"/>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A86"/>
  <sheetViews>
    <sheetView showGridLines="0" topLeftCell="G33" zoomScale="85" zoomScaleNormal="85" workbookViewId="0">
      <selection activeCell="AE77" sqref="AE77"/>
    </sheetView>
  </sheetViews>
  <sheetFormatPr defaultColWidth="11.140625" defaultRowHeight="15" x14ac:dyDescent="0.25"/>
  <cols>
    <col min="1" max="2" width="3.42578125" customWidth="1"/>
    <col min="3" max="3" width="3.7109375" customWidth="1"/>
    <col min="4" max="10" width="25.7109375" customWidth="1"/>
    <col min="11" max="14" width="3" customWidth="1"/>
    <col min="15" max="15" width="17.28515625" customWidth="1"/>
    <col min="16" max="20" width="21.7109375" customWidth="1"/>
    <col min="21" max="21" width="3" customWidth="1"/>
    <col min="22" max="27" width="18.7109375" customWidth="1"/>
    <col min="28" max="30" width="3" customWidth="1"/>
    <col min="31" max="44" width="20.42578125" customWidth="1"/>
    <col min="45" max="52" width="19.140625" customWidth="1"/>
  </cols>
  <sheetData>
    <row r="1" spans="1:53"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53"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53" ht="22.15" customHeight="1" x14ac:dyDescent="0.25">
      <c r="A3" s="83"/>
      <c r="B3" s="104"/>
      <c r="C3" s="850" t="s">
        <v>666</v>
      </c>
      <c r="D3" s="851"/>
      <c r="E3" s="851"/>
      <c r="F3" s="851"/>
      <c r="G3" s="851"/>
      <c r="H3" s="851"/>
      <c r="I3" s="851"/>
      <c r="J3" s="851"/>
      <c r="K3" s="852"/>
      <c r="L3" s="106"/>
      <c r="M3" s="105"/>
      <c r="N3" s="120"/>
      <c r="O3" s="841" t="str">
        <f>+E6&amp;" Diagram"</f>
        <v>Plant A Diagram</v>
      </c>
      <c r="P3" s="842"/>
      <c r="Q3" s="842"/>
      <c r="R3" s="842"/>
      <c r="S3" s="842"/>
      <c r="T3" s="842"/>
      <c r="U3" s="842"/>
      <c r="V3" s="842"/>
      <c r="W3" s="842"/>
      <c r="X3" s="842"/>
      <c r="Y3" s="842"/>
      <c r="Z3" s="842"/>
      <c r="AA3" s="843"/>
      <c r="AB3" s="113"/>
      <c r="AC3" s="105"/>
      <c r="AD3" s="105"/>
      <c r="AE3" s="840" t="str">
        <f>+E6&amp;" Stream Summary"</f>
        <v>Plant A Stream Summary</v>
      </c>
      <c r="AF3" s="840"/>
      <c r="AG3" s="840"/>
      <c r="AH3" s="782"/>
      <c r="AI3" s="782"/>
      <c r="AJ3" s="782"/>
      <c r="AK3" s="782"/>
      <c r="AL3" s="782"/>
      <c r="AM3" s="782"/>
      <c r="AN3" s="782"/>
      <c r="AO3" s="782"/>
      <c r="AP3" s="782"/>
      <c r="AQ3" s="782"/>
      <c r="AR3" s="782"/>
    </row>
    <row r="4" spans="1:53"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53" ht="22.15" customHeight="1" x14ac:dyDescent="0.25">
      <c r="A5" s="83"/>
      <c r="B5" s="104"/>
      <c r="C5" s="105"/>
      <c r="D5" s="855" t="s">
        <v>594</v>
      </c>
      <c r="E5" s="855"/>
      <c r="F5" s="105"/>
      <c r="G5" s="92"/>
      <c r="H5" s="92"/>
      <c r="I5" s="853" t="s">
        <v>267</v>
      </c>
      <c r="J5" s="854"/>
      <c r="K5" s="105"/>
      <c r="L5" s="106"/>
      <c r="M5" s="105"/>
      <c r="N5" s="120"/>
      <c r="O5" s="112"/>
      <c r="P5" s="112"/>
      <c r="Q5" s="112"/>
      <c r="R5" s="112"/>
      <c r="S5" s="112"/>
      <c r="T5" s="112"/>
      <c r="U5" s="112"/>
      <c r="V5" s="112"/>
      <c r="W5" s="112"/>
      <c r="X5" s="112"/>
      <c r="Y5" s="112"/>
      <c r="Z5" s="112"/>
      <c r="AA5" s="112"/>
      <c r="AB5" s="113"/>
      <c r="AC5" s="105"/>
      <c r="AD5" s="92"/>
      <c r="AE5" s="794"/>
      <c r="AF5" s="794"/>
      <c r="AG5" s="794"/>
      <c r="AH5" s="794"/>
      <c r="AI5" s="794"/>
      <c r="AJ5" s="794"/>
      <c r="AK5" s="794"/>
      <c r="AL5" s="794"/>
      <c r="AM5" s="794"/>
      <c r="AN5" s="794"/>
      <c r="AO5" s="794"/>
      <c r="AP5" s="794"/>
      <c r="AQ5" s="794"/>
      <c r="AR5" s="794"/>
    </row>
    <row r="6" spans="1:53" ht="22.15" customHeight="1" x14ac:dyDescent="0.25">
      <c r="A6" s="83"/>
      <c r="B6" s="104"/>
      <c r="C6" s="105"/>
      <c r="D6" s="576" t="s">
        <v>690</v>
      </c>
      <c r="E6" s="561" t="s">
        <v>691</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91" t="s">
        <v>759</v>
      </c>
      <c r="AF6" s="790" t="s">
        <v>757</v>
      </c>
      <c r="AG6" s="792" t="s">
        <v>758</v>
      </c>
      <c r="AH6" s="105"/>
      <c r="AI6" s="83"/>
      <c r="AJ6" s="83"/>
    </row>
    <row r="7" spans="1:53" ht="22.15" customHeight="1" x14ac:dyDescent="0.25">
      <c r="A7" s="83"/>
      <c r="B7" s="104"/>
      <c r="C7" s="105"/>
      <c r="D7" s="585" t="s">
        <v>477</v>
      </c>
      <c r="E7" s="618"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93">
        <v>1</v>
      </c>
      <c r="AF7" s="775"/>
      <c r="AG7" s="775"/>
      <c r="AH7" s="105"/>
      <c r="AI7" s="83"/>
      <c r="AJ7" s="83"/>
    </row>
    <row r="8" spans="1:53" ht="22.15" customHeight="1" x14ac:dyDescent="0.25">
      <c r="A8" s="83"/>
      <c r="B8" s="104"/>
      <c r="C8" s="105"/>
      <c r="D8" s="585" t="s">
        <v>315</v>
      </c>
      <c r="E8" s="619">
        <v>2020</v>
      </c>
      <c r="F8" s="105"/>
      <c r="G8" s="92"/>
      <c r="H8" s="92"/>
      <c r="I8" s="95"/>
      <c r="J8" s="767"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77"/>
      <c r="AI8" s="777"/>
      <c r="AJ8" s="777"/>
      <c r="AK8" s="777"/>
      <c r="AL8" s="777"/>
      <c r="AM8" s="105"/>
      <c r="AN8" s="105"/>
      <c r="AO8" s="105"/>
      <c r="AP8" s="777"/>
      <c r="AQ8" s="105"/>
      <c r="AR8" s="105"/>
      <c r="AS8" s="777"/>
      <c r="AT8" s="105"/>
      <c r="AU8" s="105"/>
      <c r="AV8" s="105"/>
      <c r="AW8" s="105"/>
      <c r="AX8" s="105"/>
      <c r="AY8" s="105"/>
      <c r="AZ8" s="83"/>
      <c r="BA8" s="83"/>
    </row>
    <row r="9" spans="1:53" ht="22.15" customHeight="1" x14ac:dyDescent="0.25">
      <c r="A9" s="83"/>
      <c r="B9" s="104"/>
      <c r="C9" s="105"/>
      <c r="D9" s="585" t="s">
        <v>573</v>
      </c>
      <c r="E9" s="620" t="s">
        <v>456</v>
      </c>
      <c r="F9" s="105"/>
      <c r="G9" s="92"/>
      <c r="H9" s="92"/>
      <c r="I9" s="110"/>
      <c r="J9" s="772" t="s">
        <v>268</v>
      </c>
      <c r="K9" s="105"/>
      <c r="L9" s="106"/>
      <c r="M9" s="105"/>
      <c r="N9" s="120"/>
      <c r="O9" s="112"/>
      <c r="P9" s="112"/>
      <c r="Q9" s="112"/>
      <c r="R9" s="112"/>
      <c r="S9" s="112"/>
      <c r="T9" s="112"/>
      <c r="U9" s="112"/>
      <c r="V9" s="112"/>
      <c r="W9" s="112"/>
      <c r="X9" s="112"/>
      <c r="Y9" s="112"/>
      <c r="Z9" s="112"/>
      <c r="AA9" s="112"/>
      <c r="AB9" s="113"/>
      <c r="AC9" s="105"/>
      <c r="AD9" s="105"/>
      <c r="AE9" s="105"/>
      <c r="AF9" s="105"/>
      <c r="AG9" s="777"/>
      <c r="AH9" s="777"/>
      <c r="AI9" s="777"/>
      <c r="AJ9" s="777"/>
      <c r="AK9" s="777"/>
      <c r="AL9" s="777"/>
      <c r="AM9" s="105"/>
      <c r="AN9" s="105"/>
      <c r="AO9" s="777"/>
      <c r="AP9" s="105"/>
      <c r="AQ9" s="777"/>
      <c r="AR9" s="105"/>
      <c r="AS9" s="782"/>
      <c r="AT9" s="105"/>
      <c r="AU9" s="105"/>
      <c r="AV9" s="105"/>
      <c r="AW9" s="105"/>
      <c r="AX9" s="83"/>
      <c r="AY9" s="83"/>
    </row>
    <row r="10" spans="1:53"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77"/>
      <c r="AF10" s="105"/>
      <c r="AG10" s="782"/>
      <c r="AH10" s="777"/>
      <c r="AI10" s="777"/>
      <c r="AJ10" s="777"/>
      <c r="AK10" s="777"/>
      <c r="AL10" s="777"/>
      <c r="AM10" s="105"/>
      <c r="AN10" s="105"/>
      <c r="AO10" s="782"/>
      <c r="AP10" s="777"/>
      <c r="AQ10" s="777"/>
      <c r="AR10" s="777"/>
      <c r="AS10" s="777"/>
      <c r="AT10" s="777"/>
      <c r="AU10" s="105"/>
      <c r="AV10" s="105"/>
      <c r="AW10" s="83"/>
      <c r="AX10" s="83"/>
    </row>
    <row r="11" spans="1:53"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77"/>
      <c r="AF11" s="777"/>
      <c r="AG11" s="777"/>
      <c r="AH11" s="777"/>
      <c r="AI11" s="777"/>
      <c r="AJ11" s="777"/>
      <c r="AK11" s="777"/>
      <c r="AL11" s="777"/>
      <c r="AM11" s="105"/>
      <c r="AN11" s="105"/>
      <c r="AO11" s="777"/>
      <c r="AP11" s="782"/>
      <c r="AQ11" s="777"/>
      <c r="AR11" s="782"/>
      <c r="AS11" s="777"/>
      <c r="AT11" s="782"/>
      <c r="AU11" s="105"/>
      <c r="AV11" s="105"/>
      <c r="AW11" s="83"/>
      <c r="AX11" s="83"/>
    </row>
    <row r="12" spans="1:53" ht="22.15" customHeight="1" x14ac:dyDescent="0.25">
      <c r="A12" s="83"/>
      <c r="B12" s="104"/>
      <c r="C12" s="844" t="str">
        <f>+E6&amp;": Mass &amp; Energy Balance"</f>
        <v>Plant A: Mass &amp; Energy Balance</v>
      </c>
      <c r="D12" s="845"/>
      <c r="E12" s="845"/>
      <c r="F12" s="845"/>
      <c r="G12" s="845"/>
      <c r="H12" s="845"/>
      <c r="I12" s="845"/>
      <c r="J12" s="845"/>
      <c r="K12" s="846"/>
      <c r="L12" s="106"/>
      <c r="M12" s="105"/>
      <c r="N12" s="120"/>
      <c r="O12" s="112"/>
      <c r="P12" s="112"/>
      <c r="Q12" s="112"/>
      <c r="R12" s="112"/>
      <c r="S12" s="112"/>
      <c r="T12" s="112"/>
      <c r="U12" s="112"/>
      <c r="V12" s="112"/>
      <c r="W12" s="112"/>
      <c r="X12" s="112"/>
      <c r="Y12" s="112"/>
      <c r="Z12" s="112"/>
      <c r="AA12" s="112"/>
      <c r="AB12" s="113"/>
      <c r="AC12" s="105"/>
      <c r="AD12" s="105"/>
      <c r="AE12" s="777"/>
      <c r="AF12" s="777"/>
      <c r="AG12" s="777"/>
      <c r="AH12" s="777"/>
      <c r="AI12" s="777"/>
      <c r="AJ12" s="777"/>
      <c r="AK12" s="777"/>
      <c r="AL12" s="777"/>
      <c r="AM12" s="105"/>
      <c r="AN12" s="105"/>
      <c r="AO12" s="83"/>
      <c r="AP12" s="83"/>
    </row>
    <row r="13" spans="1:53" ht="22.15" customHeight="1" x14ac:dyDescent="0.25">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77"/>
      <c r="AF13" s="777"/>
      <c r="AG13" s="777"/>
      <c r="AH13" s="777"/>
      <c r="AI13" s="777"/>
      <c r="AJ13" s="777"/>
      <c r="AK13" s="777"/>
      <c r="AL13" s="777"/>
      <c r="AM13" s="105"/>
      <c r="AN13" s="105"/>
      <c r="AO13" s="83"/>
      <c r="AP13" s="83"/>
    </row>
    <row r="14" spans="1:53" ht="22.15" customHeight="1" x14ac:dyDescent="0.25">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77"/>
      <c r="AF14" s="777"/>
      <c r="AG14" s="777"/>
      <c r="AH14" s="777"/>
      <c r="AI14" s="777"/>
      <c r="AJ14" s="777"/>
      <c r="AK14" s="777"/>
      <c r="AL14" s="777"/>
      <c r="AM14" s="105"/>
      <c r="AN14" s="105"/>
      <c r="AO14" s="83"/>
      <c r="AP14" s="83"/>
    </row>
    <row r="15" spans="1:53" ht="22.15" customHeight="1" x14ac:dyDescent="0.25">
      <c r="A15" s="83"/>
      <c r="B15" s="104"/>
      <c r="C15" s="116"/>
      <c r="D15" s="148"/>
      <c r="E15" s="148"/>
      <c r="F15" s="148"/>
      <c r="G15" s="105"/>
      <c r="H15" s="480"/>
      <c r="I15" s="480"/>
      <c r="J15" s="480"/>
      <c r="K15" s="152"/>
      <c r="L15" s="106"/>
      <c r="M15" s="105"/>
      <c r="N15" s="120"/>
      <c r="O15" s="112"/>
      <c r="P15" s="112"/>
      <c r="Q15" s="112"/>
      <c r="R15" s="112"/>
      <c r="S15" s="112"/>
      <c r="T15" s="112"/>
      <c r="U15" s="112"/>
      <c r="V15" s="112"/>
      <c r="W15" s="112"/>
      <c r="X15" s="112"/>
      <c r="Y15" s="112"/>
      <c r="Z15" s="112"/>
      <c r="AA15" s="112"/>
      <c r="AB15" s="113"/>
      <c r="AC15" s="105"/>
      <c r="AD15" s="105"/>
      <c r="AE15" s="777"/>
      <c r="AF15" s="777"/>
      <c r="AG15" s="777"/>
      <c r="AH15" s="777"/>
      <c r="AI15" s="777"/>
      <c r="AJ15" s="777"/>
      <c r="AK15" s="777"/>
      <c r="AL15" s="777"/>
      <c r="AM15" s="105"/>
      <c r="AN15" s="105"/>
      <c r="AO15" s="83"/>
      <c r="AP15" s="83"/>
    </row>
    <row r="16" spans="1:53" ht="22.15" customHeight="1" x14ac:dyDescent="0.25">
      <c r="A16" s="83"/>
      <c r="B16" s="104"/>
      <c r="C16" s="116"/>
      <c r="D16" s="490"/>
      <c r="E16" s="173"/>
      <c r="F16" s="490"/>
      <c r="G16" s="105"/>
      <c r="H16" s="475"/>
      <c r="I16" s="175"/>
      <c r="J16" s="475"/>
      <c r="K16" s="152"/>
      <c r="L16" s="106"/>
      <c r="M16" s="105"/>
      <c r="N16" s="120"/>
      <c r="O16" s="112"/>
      <c r="P16" s="112"/>
      <c r="Q16" s="112"/>
      <c r="R16" s="112"/>
      <c r="S16" s="112"/>
      <c r="T16" s="112"/>
      <c r="U16" s="112"/>
      <c r="V16" s="112"/>
      <c r="W16" s="112"/>
      <c r="X16" s="112"/>
      <c r="Y16" s="112"/>
      <c r="Z16" s="112"/>
      <c r="AA16" s="112"/>
      <c r="AB16" s="113"/>
      <c r="AC16" s="105"/>
      <c r="AD16" s="105"/>
      <c r="AE16" s="777"/>
      <c r="AF16" s="777"/>
      <c r="AG16" s="777"/>
      <c r="AH16" s="777"/>
      <c r="AI16" s="777"/>
      <c r="AJ16" s="777"/>
      <c r="AK16" s="777"/>
      <c r="AL16" s="777"/>
      <c r="AM16" s="105"/>
      <c r="AN16" s="105"/>
      <c r="AO16" s="83"/>
      <c r="AP16" s="83"/>
    </row>
    <row r="17" spans="1:42" ht="22.15" customHeight="1" x14ac:dyDescent="0.25">
      <c r="A17" s="83"/>
      <c r="B17" s="104"/>
      <c r="C17" s="116"/>
      <c r="D17" s="490"/>
      <c r="E17" s="173"/>
      <c r="F17" s="490"/>
      <c r="G17" s="105"/>
      <c r="H17" s="481"/>
      <c r="I17" s="175"/>
      <c r="J17" s="475"/>
      <c r="K17" s="152"/>
      <c r="L17" s="106"/>
      <c r="M17" s="105"/>
      <c r="N17" s="120"/>
      <c r="O17" s="112"/>
      <c r="P17" s="112"/>
      <c r="Q17" s="112"/>
      <c r="R17" s="112"/>
      <c r="S17" s="112"/>
      <c r="T17" s="112"/>
      <c r="U17" s="112"/>
      <c r="V17" s="112"/>
      <c r="W17" s="112"/>
      <c r="X17" s="112"/>
      <c r="Y17" s="112"/>
      <c r="Z17" s="112"/>
      <c r="AA17" s="112"/>
      <c r="AB17" s="113"/>
      <c r="AC17" s="105"/>
      <c r="AD17" s="105"/>
      <c r="AE17" s="777"/>
      <c r="AF17" s="777"/>
      <c r="AG17" s="777"/>
      <c r="AH17" s="777"/>
      <c r="AI17" s="777"/>
      <c r="AJ17" s="777"/>
      <c r="AK17" s="777"/>
      <c r="AL17" s="777"/>
      <c r="AM17" s="105"/>
      <c r="AN17" s="105"/>
      <c r="AO17" s="83"/>
      <c r="AP17" s="83"/>
    </row>
    <row r="18" spans="1:42" ht="22.15" customHeight="1" x14ac:dyDescent="0.25">
      <c r="A18" s="83"/>
      <c r="B18" s="104"/>
      <c r="C18" s="116"/>
      <c r="D18" s="490"/>
      <c r="E18" s="173"/>
      <c r="F18" s="490"/>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77"/>
      <c r="AF18" s="777"/>
      <c r="AG18" s="777"/>
      <c r="AH18" s="777"/>
      <c r="AI18" s="777"/>
      <c r="AJ18" s="777"/>
      <c r="AK18" s="777"/>
      <c r="AL18" s="777"/>
      <c r="AM18" s="105"/>
      <c r="AN18" s="105"/>
      <c r="AO18" s="83"/>
      <c r="AP18" s="83"/>
    </row>
    <row r="19" spans="1:42" ht="22.15" customHeight="1" x14ac:dyDescent="0.25">
      <c r="A19" s="83"/>
      <c r="B19" s="104"/>
      <c r="C19" s="116"/>
      <c r="D19" s="490"/>
      <c r="E19" s="173"/>
      <c r="F19" s="490"/>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77"/>
      <c r="AF19" s="777"/>
      <c r="AG19" s="777"/>
      <c r="AH19" s="777"/>
      <c r="AI19" s="777"/>
      <c r="AJ19" s="777"/>
      <c r="AK19" s="777"/>
      <c r="AL19" s="777"/>
      <c r="AM19" s="105"/>
      <c r="AN19" s="105"/>
      <c r="AO19" s="83"/>
      <c r="AP19" s="83"/>
    </row>
    <row r="20" spans="1:42" ht="22.15" customHeight="1" x14ac:dyDescent="0.25">
      <c r="A20" s="83"/>
      <c r="B20" s="104"/>
      <c r="C20" s="116"/>
      <c r="D20" s="490"/>
      <c r="E20" s="173"/>
      <c r="F20" s="490"/>
      <c r="G20" s="105"/>
      <c r="H20" s="475"/>
      <c r="I20" s="176"/>
      <c r="J20" s="475"/>
      <c r="K20" s="152"/>
      <c r="L20" s="106"/>
      <c r="M20" s="105"/>
      <c r="N20" s="120"/>
      <c r="O20" s="112"/>
      <c r="P20" s="112"/>
      <c r="Q20" s="112"/>
      <c r="R20" s="112"/>
      <c r="S20" s="112"/>
      <c r="T20" s="112"/>
      <c r="U20" s="112"/>
      <c r="V20" s="112"/>
      <c r="W20" s="112"/>
      <c r="X20" s="112"/>
      <c r="Y20" s="112"/>
      <c r="Z20" s="112"/>
      <c r="AA20" s="112"/>
      <c r="AB20" s="113"/>
      <c r="AC20" s="105"/>
      <c r="AD20" s="105"/>
      <c r="AE20" s="777"/>
      <c r="AF20" s="777"/>
      <c r="AG20" s="777"/>
      <c r="AH20" s="777"/>
      <c r="AI20" s="777"/>
      <c r="AJ20" s="777"/>
      <c r="AK20" s="777"/>
      <c r="AL20" s="777"/>
      <c r="AM20" s="105"/>
      <c r="AN20" s="105"/>
      <c r="AO20" s="83"/>
      <c r="AP20" s="83"/>
    </row>
    <row r="21" spans="1:42" ht="22.15" customHeight="1" x14ac:dyDescent="0.25">
      <c r="A21" s="83"/>
      <c r="B21" s="104"/>
      <c r="C21" s="116"/>
      <c r="D21" s="490"/>
      <c r="E21" s="173"/>
      <c r="F21" s="490"/>
      <c r="G21" s="105"/>
      <c r="H21" s="92"/>
      <c r="I21" s="92"/>
      <c r="J21" s="475"/>
      <c r="K21" s="152"/>
      <c r="L21" s="106"/>
      <c r="M21" s="105"/>
      <c r="N21" s="120"/>
      <c r="O21" s="112"/>
      <c r="P21" s="112"/>
      <c r="Q21" s="112"/>
      <c r="R21" s="112"/>
      <c r="S21" s="112"/>
      <c r="T21" s="112"/>
      <c r="U21" s="112"/>
      <c r="V21" s="112"/>
      <c r="W21" s="112"/>
      <c r="X21" s="112"/>
      <c r="Y21" s="112"/>
      <c r="Z21" s="112"/>
      <c r="AA21" s="112"/>
      <c r="AB21" s="113"/>
      <c r="AC21" s="105"/>
      <c r="AD21" s="105"/>
      <c r="AE21" s="777"/>
      <c r="AF21" s="777"/>
      <c r="AG21" s="777"/>
      <c r="AH21" s="777"/>
      <c r="AI21" s="777"/>
      <c r="AJ21" s="777"/>
      <c r="AK21" s="777"/>
      <c r="AL21" s="777"/>
      <c r="AM21" s="105"/>
      <c r="AN21" s="105"/>
      <c r="AO21" s="83"/>
      <c r="AP21" s="83"/>
    </row>
    <row r="22" spans="1:42" ht="22.15" customHeight="1" x14ac:dyDescent="0.25">
      <c r="A22" s="83"/>
      <c r="B22" s="104"/>
      <c r="C22" s="116"/>
      <c r="D22" s="490"/>
      <c r="E22" s="173"/>
      <c r="F22" s="490"/>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77"/>
      <c r="AF22" s="777"/>
      <c r="AG22" s="777"/>
      <c r="AH22" s="777"/>
      <c r="AI22" s="777"/>
      <c r="AJ22" s="777"/>
      <c r="AK22" s="777"/>
      <c r="AL22" s="777"/>
      <c r="AM22" s="105"/>
      <c r="AN22" s="105"/>
      <c r="AO22" s="83"/>
      <c r="AP22" s="83"/>
    </row>
    <row r="23" spans="1:42" ht="22.15" customHeight="1" x14ac:dyDescent="0.25">
      <c r="A23" s="83"/>
      <c r="B23" s="104"/>
      <c r="C23" s="116"/>
      <c r="D23" s="490"/>
      <c r="E23" s="173"/>
      <c r="F23" s="490"/>
      <c r="G23" s="105"/>
      <c r="H23" s="475"/>
      <c r="I23" s="176"/>
      <c r="J23" s="475"/>
      <c r="K23" s="152"/>
      <c r="L23" s="106"/>
      <c r="M23" s="105"/>
      <c r="N23" s="120"/>
      <c r="O23" s="112"/>
      <c r="P23" s="112"/>
      <c r="Q23" s="112"/>
      <c r="R23" s="112"/>
      <c r="S23" s="112"/>
      <c r="T23" s="112"/>
      <c r="U23" s="112"/>
      <c r="V23" s="112"/>
      <c r="W23" s="112"/>
      <c r="X23" s="112"/>
      <c r="Y23" s="112"/>
      <c r="Z23" s="112"/>
      <c r="AA23" s="112"/>
      <c r="AB23" s="113"/>
      <c r="AC23" s="105"/>
      <c r="AD23" s="105"/>
      <c r="AE23" s="777"/>
      <c r="AF23" s="777"/>
      <c r="AG23" s="777"/>
      <c r="AH23" s="777"/>
      <c r="AI23" s="777"/>
      <c r="AJ23" s="83"/>
      <c r="AK23" s="777"/>
      <c r="AL23" s="777"/>
      <c r="AM23" s="105"/>
      <c r="AN23" s="105"/>
      <c r="AO23" s="83"/>
      <c r="AP23" s="83"/>
    </row>
    <row r="24" spans="1:42" ht="22.15" customHeight="1" x14ac:dyDescent="0.25">
      <c r="A24" s="83"/>
      <c r="B24" s="104"/>
      <c r="C24" s="150"/>
      <c r="D24" s="490"/>
      <c r="E24" s="173"/>
      <c r="F24" s="490"/>
      <c r="G24" s="773"/>
      <c r="H24" s="475"/>
      <c r="I24" s="475"/>
      <c r="J24" s="475"/>
      <c r="K24" s="152"/>
      <c r="L24" s="106"/>
      <c r="M24" s="105"/>
      <c r="N24" s="120"/>
      <c r="O24" s="112"/>
      <c r="P24" s="112"/>
      <c r="Q24" s="112"/>
      <c r="R24" s="112"/>
      <c r="S24" s="112"/>
      <c r="T24" s="112"/>
      <c r="U24" s="112"/>
      <c r="V24" s="112"/>
      <c r="W24" s="112"/>
      <c r="X24" s="112"/>
      <c r="Y24" s="112"/>
      <c r="Z24" s="112"/>
      <c r="AA24" s="112"/>
      <c r="AB24" s="113"/>
      <c r="AC24" s="105"/>
      <c r="AD24" s="105"/>
      <c r="AE24" s="777"/>
      <c r="AF24" s="777"/>
      <c r="AG24" s="777"/>
      <c r="AH24" s="777"/>
      <c r="AI24" s="777"/>
      <c r="AJ24" s="83"/>
      <c r="AK24" s="777"/>
      <c r="AL24" s="777"/>
      <c r="AM24" s="105"/>
      <c r="AN24" s="105"/>
      <c r="AO24" s="83"/>
      <c r="AP24" s="83"/>
    </row>
    <row r="25" spans="1:42" ht="22.15" customHeight="1" x14ac:dyDescent="0.25">
      <c r="A25" s="83"/>
      <c r="B25" s="104"/>
      <c r="C25" s="150"/>
      <c r="D25" s="490"/>
      <c r="E25" s="173"/>
      <c r="F25" s="490"/>
      <c r="G25" s="773"/>
      <c r="H25" s="482"/>
      <c r="I25" s="482"/>
      <c r="J25" s="482"/>
      <c r="K25" s="152"/>
      <c r="L25" s="106"/>
      <c r="M25" s="105"/>
      <c r="N25" s="120"/>
      <c r="O25" s="112"/>
      <c r="P25" s="112"/>
      <c r="Q25" s="112"/>
      <c r="R25" s="112"/>
      <c r="S25" s="112"/>
      <c r="T25" s="112"/>
      <c r="U25" s="112"/>
      <c r="V25" s="112"/>
      <c r="W25" s="112"/>
      <c r="X25" s="112"/>
      <c r="Y25" s="112"/>
      <c r="Z25" s="112"/>
      <c r="AA25" s="112"/>
      <c r="AB25" s="113"/>
      <c r="AC25" s="105"/>
      <c r="AD25" s="105"/>
      <c r="AE25" s="777"/>
      <c r="AF25" s="777"/>
      <c r="AG25" s="777"/>
      <c r="AH25" s="777"/>
      <c r="AI25" s="777"/>
      <c r="AJ25" s="83"/>
      <c r="AK25" s="777"/>
      <c r="AL25" s="83"/>
      <c r="AM25" s="105"/>
      <c r="AN25" s="105"/>
      <c r="AO25" s="83"/>
      <c r="AP25" s="83"/>
    </row>
    <row r="26" spans="1:42" ht="22.15" customHeight="1" x14ac:dyDescent="0.25">
      <c r="A26" s="83"/>
      <c r="B26" s="104"/>
      <c r="C26" s="150"/>
      <c r="D26" s="490"/>
      <c r="E26" s="173"/>
      <c r="F26" s="490"/>
      <c r="G26" s="773"/>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77"/>
      <c r="AF26" s="777"/>
      <c r="AG26" s="777"/>
      <c r="AH26" s="83"/>
      <c r="AI26" s="777"/>
      <c r="AJ26" s="83"/>
      <c r="AK26" s="777"/>
      <c r="AL26" s="83"/>
      <c r="AM26" s="105"/>
      <c r="AN26" s="105"/>
      <c r="AO26" s="83"/>
      <c r="AP26" s="83"/>
    </row>
    <row r="27" spans="1:42" ht="22.15" customHeight="1" x14ac:dyDescent="0.25">
      <c r="A27" s="83"/>
      <c r="B27" s="104"/>
      <c r="C27" s="150"/>
      <c r="D27" s="490"/>
      <c r="E27" s="173"/>
      <c r="F27" s="490"/>
      <c r="G27" s="773"/>
      <c r="H27" s="475"/>
      <c r="I27" s="201"/>
      <c r="J27" s="475"/>
      <c r="K27" s="152"/>
      <c r="L27" s="106"/>
      <c r="M27" s="105"/>
      <c r="N27" s="120"/>
      <c r="O27" s="112"/>
      <c r="P27" s="112"/>
      <c r="Q27" s="112"/>
      <c r="R27" s="112"/>
      <c r="S27" s="112"/>
      <c r="T27" s="112"/>
      <c r="U27" s="112"/>
      <c r="V27" s="112"/>
      <c r="W27" s="112"/>
      <c r="X27" s="112"/>
      <c r="Y27" s="112"/>
      <c r="Z27" s="112"/>
      <c r="AA27" s="112"/>
      <c r="AB27" s="113"/>
      <c r="AC27" s="105"/>
      <c r="AD27" s="105"/>
      <c r="AE27" s="777"/>
      <c r="AF27" s="777"/>
      <c r="AG27" s="777"/>
      <c r="AH27" s="83"/>
      <c r="AI27" s="83"/>
      <c r="AJ27" s="83"/>
      <c r="AK27" s="83"/>
      <c r="AL27" s="83"/>
      <c r="AM27" s="105"/>
      <c r="AN27" s="105"/>
      <c r="AO27" s="83"/>
      <c r="AP27" s="83"/>
    </row>
    <row r="28" spans="1:42" ht="22.15" customHeight="1" x14ac:dyDescent="0.25">
      <c r="A28" s="83"/>
      <c r="B28" s="104"/>
      <c r="C28" s="150"/>
      <c r="D28" s="479"/>
      <c r="E28" s="479"/>
      <c r="F28" s="479"/>
      <c r="G28" s="773"/>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77"/>
      <c r="AF28" s="777"/>
      <c r="AG28" s="777"/>
      <c r="AH28" s="83"/>
      <c r="AI28" s="83"/>
      <c r="AJ28" s="83"/>
      <c r="AK28" s="83"/>
      <c r="AL28" s="83"/>
      <c r="AM28" s="105"/>
      <c r="AN28" s="105"/>
      <c r="AO28" s="83"/>
      <c r="AP28" s="83"/>
    </row>
    <row r="29" spans="1:42" ht="22.15" customHeight="1" x14ac:dyDescent="0.25">
      <c r="A29" s="83"/>
      <c r="B29" s="104"/>
      <c r="C29" s="150"/>
      <c r="D29" s="490"/>
      <c r="E29" s="173"/>
      <c r="F29" s="490"/>
      <c r="G29" s="773"/>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77"/>
      <c r="AF29" s="777"/>
      <c r="AG29" s="777"/>
      <c r="AH29" s="83"/>
      <c r="AI29" s="83"/>
      <c r="AJ29" s="83"/>
      <c r="AK29" s="83"/>
      <c r="AL29" s="83"/>
      <c r="AM29" s="105"/>
      <c r="AN29" s="105"/>
      <c r="AO29" s="83"/>
      <c r="AP29" s="83"/>
    </row>
    <row r="30" spans="1:42" ht="22.15" customHeight="1" x14ac:dyDescent="0.25">
      <c r="A30" s="83"/>
      <c r="B30" s="104"/>
      <c r="C30" s="150"/>
      <c r="D30" s="490"/>
      <c r="E30" s="173"/>
      <c r="F30" s="490"/>
      <c r="G30" s="773"/>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777"/>
      <c r="AF30" s="777"/>
      <c r="AG30" s="83"/>
      <c r="AH30" s="83"/>
      <c r="AI30" s="83"/>
      <c r="AJ30" s="83"/>
      <c r="AK30" s="83"/>
      <c r="AL30" s="83"/>
      <c r="AM30" s="105"/>
      <c r="AN30" s="105"/>
      <c r="AO30" s="83"/>
      <c r="AP30" s="83"/>
    </row>
    <row r="31" spans="1:42" ht="22.15" customHeight="1" x14ac:dyDescent="0.25">
      <c r="A31" s="83"/>
      <c r="B31" s="104"/>
      <c r="C31" s="150"/>
      <c r="D31" s="490"/>
      <c r="E31" s="173"/>
      <c r="F31" s="490"/>
      <c r="G31" s="773"/>
      <c r="H31" s="92"/>
      <c r="I31" s="92"/>
      <c r="J31" s="92"/>
      <c r="K31" s="152"/>
      <c r="L31" s="106"/>
      <c r="M31" s="105"/>
      <c r="N31" s="120"/>
      <c r="O31" s="112"/>
      <c r="P31" s="112"/>
      <c r="Q31" s="112"/>
      <c r="R31" s="112"/>
      <c r="S31" s="112"/>
      <c r="T31" s="112"/>
      <c r="U31" s="112"/>
      <c r="V31" s="112"/>
      <c r="W31" s="112"/>
      <c r="X31" s="112"/>
      <c r="Y31" s="112"/>
      <c r="Z31" s="112"/>
      <c r="AA31" s="112"/>
      <c r="AB31" s="113"/>
      <c r="AC31" s="105"/>
      <c r="AD31" s="105"/>
      <c r="AE31" s="83"/>
      <c r="AF31" s="777"/>
      <c r="AG31" s="83"/>
      <c r="AH31" s="83"/>
      <c r="AI31" s="83"/>
      <c r="AJ31" s="83"/>
      <c r="AK31" s="83"/>
      <c r="AL31" s="83"/>
      <c r="AM31" s="777"/>
      <c r="AN31" s="777"/>
      <c r="AO31" s="83"/>
      <c r="AP31" s="83"/>
    </row>
    <row r="32" spans="1:42" ht="22.15" customHeight="1" x14ac:dyDescent="0.25">
      <c r="A32" s="83"/>
      <c r="B32" s="104"/>
      <c r="C32" s="150"/>
      <c r="D32" s="490"/>
      <c r="E32" s="173"/>
      <c r="F32" s="490"/>
      <c r="G32" s="773"/>
      <c r="H32" s="576" t="s">
        <v>360</v>
      </c>
      <c r="I32" s="576" t="s">
        <v>674</v>
      </c>
      <c r="J32" s="550" t="s">
        <v>235</v>
      </c>
      <c r="K32" s="152"/>
      <c r="L32" s="106"/>
      <c r="M32" s="105"/>
      <c r="N32" s="121"/>
      <c r="O32" s="122"/>
      <c r="P32" s="122"/>
      <c r="Q32" s="122"/>
      <c r="R32" s="122"/>
      <c r="S32" s="122"/>
      <c r="T32" s="122"/>
      <c r="U32" s="122"/>
      <c r="V32" s="122"/>
      <c r="W32" s="122"/>
      <c r="X32" s="122"/>
      <c r="Y32" s="122"/>
      <c r="Z32" s="122"/>
      <c r="AA32" s="122"/>
      <c r="AB32" s="123"/>
      <c r="AC32" s="105"/>
      <c r="AD32" s="105"/>
      <c r="AE32" s="83"/>
      <c r="AF32" s="83"/>
      <c r="AG32" s="83"/>
      <c r="AH32" s="83"/>
      <c r="AI32" s="83"/>
      <c r="AJ32" s="83"/>
      <c r="AK32" s="83"/>
      <c r="AL32" s="83"/>
      <c r="AM32" s="777"/>
      <c r="AN32" s="777"/>
      <c r="AO32" s="83"/>
      <c r="AP32" s="83"/>
    </row>
    <row r="33" spans="1:42" ht="22.15" customHeight="1" x14ac:dyDescent="0.25">
      <c r="A33" s="83"/>
      <c r="B33" s="104"/>
      <c r="C33" s="150"/>
      <c r="D33" s="490"/>
      <c r="E33" s="173"/>
      <c r="F33" s="490"/>
      <c r="G33" s="773"/>
      <c r="H33" s="649" t="s">
        <v>678</v>
      </c>
      <c r="I33" s="561"/>
      <c r="J33" s="561" t="s">
        <v>697</v>
      </c>
      <c r="K33" s="152"/>
      <c r="L33" s="106"/>
      <c r="M33" s="105"/>
      <c r="N33" s="92"/>
      <c r="O33" s="112"/>
      <c r="P33" s="112"/>
      <c r="Q33" s="112"/>
      <c r="R33" s="112"/>
      <c r="S33" s="112"/>
      <c r="T33" s="112"/>
      <c r="U33" s="112"/>
      <c r="V33" s="112"/>
      <c r="W33" s="112"/>
      <c r="X33" s="112"/>
      <c r="Y33" s="112"/>
      <c r="Z33" s="112"/>
      <c r="AA33" s="112"/>
      <c r="AB33" s="112"/>
      <c r="AC33" s="105"/>
      <c r="AD33" s="105"/>
      <c r="AE33" s="83"/>
      <c r="AF33" s="83"/>
      <c r="AG33" s="83"/>
      <c r="AH33" s="83"/>
      <c r="AI33" s="83"/>
      <c r="AJ33" s="83"/>
      <c r="AK33" s="83"/>
      <c r="AL33" s="83"/>
      <c r="AM33" s="777"/>
      <c r="AN33" s="777"/>
      <c r="AO33" s="83"/>
      <c r="AP33" s="83"/>
    </row>
    <row r="34" spans="1:42" ht="22.15" customHeight="1" x14ac:dyDescent="0.25">
      <c r="A34" s="83"/>
      <c r="B34" s="104"/>
      <c r="C34" s="151"/>
      <c r="D34" s="153"/>
      <c r="E34" s="153"/>
      <c r="F34" s="153"/>
      <c r="G34" s="153"/>
      <c r="H34" s="153"/>
      <c r="I34" s="153"/>
      <c r="J34" s="153"/>
      <c r="K34" s="154"/>
      <c r="L34" s="106"/>
      <c r="M34" s="105"/>
      <c r="N34" s="117"/>
      <c r="O34" s="118"/>
      <c r="P34" s="118"/>
      <c r="Q34" s="118"/>
      <c r="R34" s="118"/>
      <c r="S34" s="118"/>
      <c r="T34" s="118"/>
      <c r="U34" s="118"/>
      <c r="V34" s="118"/>
      <c r="W34" s="118"/>
      <c r="X34" s="118"/>
      <c r="Y34" s="118"/>
      <c r="Z34" s="118"/>
      <c r="AA34" s="118"/>
      <c r="AB34" s="119"/>
      <c r="AC34" s="105"/>
      <c r="AD34" s="105"/>
      <c r="AE34" s="83"/>
      <c r="AF34" s="83"/>
      <c r="AG34" s="83"/>
      <c r="AH34" s="83"/>
      <c r="AI34" s="83"/>
      <c r="AJ34" s="83"/>
      <c r="AK34" s="83"/>
      <c r="AL34" s="83"/>
      <c r="AM34" s="777"/>
      <c r="AN34" s="777"/>
      <c r="AO34" s="83"/>
      <c r="AP34" s="83"/>
    </row>
    <row r="35" spans="1:42" ht="22.15" customHeight="1" x14ac:dyDescent="0.25">
      <c r="A35" s="83"/>
      <c r="B35" s="104"/>
      <c r="C35" s="844" t="str">
        <f>+E6&amp;": Environmental Performance"</f>
        <v>Plant A: Environmental Performance</v>
      </c>
      <c r="D35" s="845"/>
      <c r="E35" s="845"/>
      <c r="F35" s="845"/>
      <c r="G35" s="845"/>
      <c r="H35" s="845"/>
      <c r="I35" s="845"/>
      <c r="J35" s="845"/>
      <c r="K35" s="846"/>
      <c r="L35" s="106"/>
      <c r="M35" s="105"/>
      <c r="N35" s="116"/>
      <c r="O35" s="844" t="str">
        <f>+E6</f>
        <v>Plant A</v>
      </c>
      <c r="P35" s="845"/>
      <c r="Q35" s="845"/>
      <c r="R35" s="845"/>
      <c r="S35" s="845"/>
      <c r="T35" s="846"/>
      <c r="U35" s="92"/>
      <c r="V35" s="844" t="s">
        <v>704</v>
      </c>
      <c r="W35" s="845"/>
      <c r="X35" s="845"/>
      <c r="Y35" s="845"/>
      <c r="Z35" s="845"/>
      <c r="AA35" s="846"/>
      <c r="AB35" s="113"/>
      <c r="AC35" s="105"/>
      <c r="AD35" s="777"/>
      <c r="AE35" s="83"/>
      <c r="AF35" s="83"/>
      <c r="AG35" s="83"/>
      <c r="AH35" s="83"/>
      <c r="AI35" s="83"/>
      <c r="AJ35" s="83"/>
      <c r="AK35" s="83"/>
      <c r="AL35" s="83"/>
      <c r="AM35" s="777"/>
      <c r="AN35" s="777"/>
      <c r="AO35" s="83"/>
      <c r="AP35" s="83"/>
    </row>
    <row r="36" spans="1:42" ht="22.15" customHeight="1" x14ac:dyDescent="0.25">
      <c r="A36" s="83"/>
      <c r="B36" s="104"/>
      <c r="C36" s="157"/>
      <c r="D36" s="158"/>
      <c r="E36" s="158"/>
      <c r="F36" s="158"/>
      <c r="G36" s="158"/>
      <c r="H36" s="158"/>
      <c r="I36" s="158"/>
      <c r="J36" s="158"/>
      <c r="K36" s="375"/>
      <c r="L36" s="106"/>
      <c r="M36" s="105"/>
      <c r="N36" s="120"/>
      <c r="O36" s="112"/>
      <c r="P36" s="112"/>
      <c r="Q36" s="112"/>
      <c r="R36" s="112"/>
      <c r="S36" s="92"/>
      <c r="T36" s="112"/>
      <c r="U36" s="112"/>
      <c r="V36" s="112"/>
      <c r="W36" s="112"/>
      <c r="X36" s="112"/>
      <c r="Y36" s="112"/>
      <c r="Z36" s="112"/>
      <c r="AA36" s="112"/>
      <c r="AB36" s="113"/>
      <c r="AC36" s="105"/>
      <c r="AD36" s="777"/>
      <c r="AE36" s="83"/>
      <c r="AF36" s="83"/>
      <c r="AG36" s="83"/>
      <c r="AH36" s="83"/>
      <c r="AI36" s="83"/>
      <c r="AJ36" s="83"/>
      <c r="AK36" s="83"/>
      <c r="AL36" s="83"/>
      <c r="AM36" s="777"/>
      <c r="AN36" s="777"/>
      <c r="AO36" s="83"/>
      <c r="AP36" s="83"/>
    </row>
    <row r="37" spans="1:42" ht="22.15" customHeight="1" x14ac:dyDescent="0.25">
      <c r="A37" s="83"/>
      <c r="B37" s="104"/>
      <c r="C37" s="116"/>
      <c r="D37" s="148"/>
      <c r="E37" s="148"/>
      <c r="F37" s="148"/>
      <c r="G37" s="105"/>
      <c r="H37" s="479"/>
      <c r="I37" s="479"/>
      <c r="J37" s="479"/>
      <c r="K37" s="152"/>
      <c r="L37" s="106"/>
      <c r="M37" s="105"/>
      <c r="N37" s="120"/>
      <c r="O37" s="814" t="s">
        <v>580</v>
      </c>
      <c r="P37" s="815"/>
      <c r="Q37" s="815"/>
      <c r="R37" s="815"/>
      <c r="S37" s="815"/>
      <c r="T37" s="816"/>
      <c r="U37" s="92"/>
      <c r="V37" s="617" t="s">
        <v>360</v>
      </c>
      <c r="W37" s="688" t="s">
        <v>589</v>
      </c>
      <c r="X37" s="867" t="s">
        <v>357</v>
      </c>
      <c r="Y37" s="867"/>
      <c r="Z37" s="867"/>
      <c r="AA37" s="868"/>
      <c r="AB37" s="113"/>
      <c r="AC37" s="105"/>
      <c r="AD37" s="777"/>
      <c r="AE37" s="83"/>
      <c r="AF37" s="83"/>
      <c r="AG37" s="83"/>
      <c r="AH37" s="83"/>
      <c r="AI37" s="83"/>
      <c r="AJ37" s="83"/>
      <c r="AK37" s="83"/>
      <c r="AL37" s="83"/>
      <c r="AM37" s="777"/>
      <c r="AN37" s="777"/>
      <c r="AO37" s="83"/>
      <c r="AP37" s="83"/>
    </row>
    <row r="38" spans="1:42" ht="22.15" customHeight="1" x14ac:dyDescent="0.25">
      <c r="A38" s="83"/>
      <c r="B38" s="104"/>
      <c r="C38" s="116"/>
      <c r="D38" s="130"/>
      <c r="E38" s="259"/>
      <c r="F38" s="259"/>
      <c r="G38" s="105"/>
      <c r="H38" s="148"/>
      <c r="I38" s="130"/>
      <c r="J38" s="148"/>
      <c r="K38" s="152"/>
      <c r="L38" s="106"/>
      <c r="M38" s="105"/>
      <c r="N38" s="120"/>
      <c r="O38" s="858"/>
      <c r="P38" s="859"/>
      <c r="Q38" s="859"/>
      <c r="R38" s="859"/>
      <c r="S38" s="859"/>
      <c r="T38" s="860"/>
      <c r="U38" s="112"/>
      <c r="V38" s="771" t="s">
        <v>686</v>
      </c>
      <c r="W38" s="561" t="s">
        <v>240</v>
      </c>
      <c r="X38" s="869"/>
      <c r="Y38" s="869"/>
      <c r="Z38" s="869"/>
      <c r="AA38" s="870"/>
      <c r="AB38" s="113"/>
      <c r="AC38" s="105"/>
      <c r="AD38" s="777"/>
      <c r="AF38" s="83"/>
      <c r="AG38" s="83"/>
      <c r="AH38" s="83"/>
      <c r="AI38" s="83"/>
      <c r="AJ38" s="83"/>
      <c r="AK38" s="83"/>
      <c r="AL38" s="83"/>
      <c r="AM38" s="777"/>
      <c r="AN38" s="777"/>
      <c r="AO38" s="83"/>
      <c r="AP38" s="83"/>
    </row>
    <row r="39" spans="1:42" ht="22.15" customHeight="1" x14ac:dyDescent="0.25">
      <c r="A39" s="83"/>
      <c r="B39" s="104"/>
      <c r="C39" s="116"/>
      <c r="D39" s="259"/>
      <c r="E39" s="177"/>
      <c r="F39" s="259"/>
      <c r="G39" s="105"/>
      <c r="H39" s="259"/>
      <c r="I39" s="202"/>
      <c r="J39" s="259"/>
      <c r="K39" s="152"/>
      <c r="L39" s="106"/>
      <c r="M39" s="105"/>
      <c r="N39" s="120"/>
      <c r="O39" s="861"/>
      <c r="P39" s="862"/>
      <c r="Q39" s="862"/>
      <c r="R39" s="862"/>
      <c r="S39" s="862"/>
      <c r="T39" s="863"/>
      <c r="U39" s="112"/>
      <c r="V39" s="771" t="s">
        <v>687</v>
      </c>
      <c r="W39" s="561" t="s">
        <v>453</v>
      </c>
      <c r="X39" s="869"/>
      <c r="Y39" s="869"/>
      <c r="Z39" s="869"/>
      <c r="AA39" s="870"/>
      <c r="AB39" s="113"/>
      <c r="AC39" s="105"/>
      <c r="AD39" s="777"/>
      <c r="AG39" s="83"/>
      <c r="AH39" s="83"/>
      <c r="AI39" s="83"/>
      <c r="AJ39" s="83"/>
      <c r="AK39" s="83"/>
      <c r="AL39" s="83"/>
      <c r="AM39" s="777"/>
      <c r="AN39" s="777"/>
      <c r="AO39" s="83"/>
      <c r="AP39" s="83"/>
    </row>
    <row r="40" spans="1:42" ht="22.15" customHeight="1" x14ac:dyDescent="0.25">
      <c r="A40" s="83"/>
      <c r="B40" s="104"/>
      <c r="C40" s="116"/>
      <c r="D40" s="259"/>
      <c r="E40" s="177"/>
      <c r="F40" s="259"/>
      <c r="G40" s="105"/>
      <c r="H40" s="148"/>
      <c r="I40" s="148"/>
      <c r="J40" s="148"/>
      <c r="K40" s="152"/>
      <c r="L40" s="106"/>
      <c r="M40" s="105"/>
      <c r="N40" s="120"/>
      <c r="O40" s="861"/>
      <c r="P40" s="862"/>
      <c r="Q40" s="862"/>
      <c r="R40" s="862"/>
      <c r="S40" s="862"/>
      <c r="T40" s="863"/>
      <c r="U40" s="112"/>
      <c r="V40" s="771" t="s">
        <v>688</v>
      </c>
      <c r="W40" s="561" t="s">
        <v>454</v>
      </c>
      <c r="X40" s="856"/>
      <c r="Y40" s="856"/>
      <c r="Z40" s="856"/>
      <c r="AA40" s="857"/>
      <c r="AB40" s="113"/>
      <c r="AC40" s="105"/>
      <c r="AD40" s="777"/>
      <c r="AG40" s="83"/>
      <c r="AH40" s="83"/>
      <c r="AI40" s="83"/>
      <c r="AJ40" s="83"/>
      <c r="AK40" s="83"/>
      <c r="AL40" s="83"/>
      <c r="AM40" s="777"/>
      <c r="AN40" s="777"/>
      <c r="AO40" s="83"/>
      <c r="AP40" s="83"/>
    </row>
    <row r="41" spans="1:42" ht="22.15" customHeight="1" x14ac:dyDescent="0.25">
      <c r="A41" s="83"/>
      <c r="B41" s="104"/>
      <c r="C41" s="116"/>
      <c r="D41" s="259"/>
      <c r="E41" s="177"/>
      <c r="F41" s="259"/>
      <c r="G41" s="105"/>
      <c r="H41" s="148"/>
      <c r="I41" s="148"/>
      <c r="J41" s="148"/>
      <c r="K41" s="152"/>
      <c r="L41" s="106"/>
      <c r="M41" s="105"/>
      <c r="N41" s="120"/>
      <c r="O41" s="861"/>
      <c r="P41" s="862"/>
      <c r="Q41" s="862"/>
      <c r="R41" s="862"/>
      <c r="S41" s="862"/>
      <c r="T41" s="863"/>
      <c r="U41" s="112"/>
      <c r="V41" s="771" t="s">
        <v>689</v>
      </c>
      <c r="W41" s="561" t="s">
        <v>455</v>
      </c>
      <c r="X41" s="869"/>
      <c r="Y41" s="869"/>
      <c r="Z41" s="869"/>
      <c r="AA41" s="870"/>
      <c r="AB41" s="113"/>
      <c r="AC41" s="105"/>
      <c r="AD41" s="777"/>
      <c r="AG41" s="83"/>
      <c r="AH41" s="83"/>
      <c r="AI41" s="83"/>
      <c r="AJ41" s="83"/>
      <c r="AK41" s="83"/>
      <c r="AL41" s="83"/>
      <c r="AM41" s="777"/>
      <c r="AN41" s="777"/>
      <c r="AO41" s="83"/>
      <c r="AP41" s="83"/>
    </row>
    <row r="42" spans="1:42" ht="22.15" customHeight="1" x14ac:dyDescent="0.25">
      <c r="A42" s="83"/>
      <c r="B42" s="104"/>
      <c r="C42" s="116"/>
      <c r="D42" s="259"/>
      <c r="E42" s="177"/>
      <c r="F42" s="259"/>
      <c r="G42" s="105"/>
      <c r="H42" s="148"/>
      <c r="I42" s="148"/>
      <c r="J42" s="148"/>
      <c r="K42" s="152"/>
      <c r="L42" s="106"/>
      <c r="M42" s="105"/>
      <c r="N42" s="120"/>
      <c r="O42" s="861"/>
      <c r="P42" s="862"/>
      <c r="Q42" s="862"/>
      <c r="R42" s="862"/>
      <c r="S42" s="862"/>
      <c r="T42" s="863"/>
      <c r="U42" s="112"/>
      <c r="V42" s="768"/>
      <c r="W42" s="194"/>
      <c r="X42" s="856"/>
      <c r="Y42" s="856"/>
      <c r="Z42" s="856"/>
      <c r="AA42" s="857"/>
      <c r="AB42" s="770"/>
      <c r="AC42" s="105"/>
      <c r="AD42" s="777"/>
      <c r="AG42" s="83"/>
      <c r="AH42" s="83"/>
      <c r="AI42" s="83"/>
      <c r="AJ42" s="83"/>
      <c r="AK42" s="83"/>
      <c r="AL42" s="83"/>
      <c r="AM42" s="777"/>
      <c r="AN42" s="777"/>
      <c r="AO42" s="83"/>
      <c r="AP42" s="83"/>
    </row>
    <row r="43" spans="1:42" ht="22.15" customHeight="1" x14ac:dyDescent="0.25">
      <c r="A43" s="83"/>
      <c r="B43" s="104"/>
      <c r="C43" s="150"/>
      <c r="D43" s="259"/>
      <c r="E43" s="177"/>
      <c r="F43" s="259"/>
      <c r="G43" s="105"/>
      <c r="H43" s="148"/>
      <c r="I43" s="148"/>
      <c r="J43" s="148"/>
      <c r="K43" s="152"/>
      <c r="L43" s="106"/>
      <c r="M43" s="105"/>
      <c r="N43" s="120"/>
      <c r="O43" s="861"/>
      <c r="P43" s="862"/>
      <c r="Q43" s="862"/>
      <c r="R43" s="862"/>
      <c r="S43" s="862"/>
      <c r="T43" s="863"/>
      <c r="U43" s="112"/>
      <c r="V43" s="768"/>
      <c r="W43" s="194"/>
      <c r="X43" s="856"/>
      <c r="Y43" s="856"/>
      <c r="Z43" s="856"/>
      <c r="AA43" s="857"/>
      <c r="AB43" s="113"/>
      <c r="AC43" s="105"/>
      <c r="AD43" s="777"/>
      <c r="AG43" s="83"/>
      <c r="AH43" s="83"/>
      <c r="AI43" s="83"/>
      <c r="AJ43" s="83"/>
      <c r="AK43" s="83"/>
      <c r="AL43" s="83"/>
      <c r="AM43" s="777"/>
      <c r="AN43" s="777"/>
      <c r="AO43" s="83"/>
      <c r="AP43" s="83"/>
    </row>
    <row r="44" spans="1:42" ht="22.15" customHeight="1" x14ac:dyDescent="0.25">
      <c r="A44" s="83"/>
      <c r="B44" s="104"/>
      <c r="C44" s="150"/>
      <c r="D44" s="475"/>
      <c r="E44" s="177"/>
      <c r="F44" s="259"/>
      <c r="G44" s="773"/>
      <c r="H44" s="773"/>
      <c r="I44" s="773"/>
      <c r="J44" s="773"/>
      <c r="K44" s="152"/>
      <c r="L44" s="106"/>
      <c r="M44" s="105"/>
      <c r="N44" s="120"/>
      <c r="O44" s="861"/>
      <c r="P44" s="862"/>
      <c r="Q44" s="862"/>
      <c r="R44" s="862"/>
      <c r="S44" s="862"/>
      <c r="T44" s="863"/>
      <c r="U44" s="112"/>
      <c r="V44" s="768"/>
      <c r="W44" s="194"/>
      <c r="X44" s="856"/>
      <c r="Y44" s="856"/>
      <c r="Z44" s="856"/>
      <c r="AA44" s="857"/>
      <c r="AB44" s="113"/>
      <c r="AC44" s="105"/>
      <c r="AD44" s="777"/>
      <c r="AG44" s="83"/>
      <c r="AH44" s="83"/>
      <c r="AI44" s="83"/>
      <c r="AJ44" s="83"/>
      <c r="AK44" s="83"/>
      <c r="AL44" s="83"/>
      <c r="AM44" s="777"/>
      <c r="AN44" s="777"/>
      <c r="AO44" s="83"/>
      <c r="AP44" s="83"/>
    </row>
    <row r="45" spans="1:42" ht="22.15" customHeight="1" x14ac:dyDescent="0.25">
      <c r="A45" s="83"/>
      <c r="B45" s="104"/>
      <c r="C45" s="150"/>
      <c r="D45" s="773"/>
      <c r="E45" s="773"/>
      <c r="F45" s="490"/>
      <c r="G45" s="773"/>
      <c r="H45" s="773"/>
      <c r="I45" s="773"/>
      <c r="J45" s="773"/>
      <c r="K45" s="152"/>
      <c r="L45" s="106"/>
      <c r="M45" s="105"/>
      <c r="N45" s="120"/>
      <c r="O45" s="861"/>
      <c r="P45" s="862"/>
      <c r="Q45" s="862"/>
      <c r="R45" s="862"/>
      <c r="S45" s="862"/>
      <c r="T45" s="863"/>
      <c r="U45" s="112"/>
      <c r="V45" s="768"/>
      <c r="W45" s="194"/>
      <c r="X45" s="856"/>
      <c r="Y45" s="856"/>
      <c r="Z45" s="856"/>
      <c r="AA45" s="857"/>
      <c r="AB45" s="113"/>
      <c r="AC45" s="105"/>
      <c r="AD45" s="777"/>
      <c r="AG45" s="83"/>
      <c r="AH45" s="83"/>
      <c r="AI45" s="83"/>
      <c r="AJ45" s="83"/>
      <c r="AK45" s="83"/>
      <c r="AL45" s="83"/>
      <c r="AM45" s="777"/>
      <c r="AN45" s="777"/>
      <c r="AO45" s="83"/>
      <c r="AP45" s="83"/>
    </row>
    <row r="46" spans="1:42" ht="22.15" customHeight="1" x14ac:dyDescent="0.25">
      <c r="A46" s="83"/>
      <c r="B46" s="104"/>
      <c r="C46" s="150"/>
      <c r="D46" s="211"/>
      <c r="E46" s="211"/>
      <c r="F46" s="211"/>
      <c r="G46" s="773"/>
      <c r="H46" s="773"/>
      <c r="I46" s="773"/>
      <c r="J46" s="773"/>
      <c r="K46" s="152"/>
      <c r="L46" s="106"/>
      <c r="M46" s="105"/>
      <c r="N46" s="120"/>
      <c r="O46" s="861"/>
      <c r="P46" s="862"/>
      <c r="Q46" s="862"/>
      <c r="R46" s="862"/>
      <c r="S46" s="862"/>
      <c r="T46" s="863"/>
      <c r="U46" s="112"/>
      <c r="V46" s="768"/>
      <c r="W46" s="194"/>
      <c r="X46" s="856"/>
      <c r="Y46" s="856"/>
      <c r="Z46" s="856"/>
      <c r="AA46" s="857"/>
      <c r="AB46" s="113"/>
      <c r="AC46" s="105"/>
      <c r="AD46" s="777"/>
      <c r="AG46" s="83"/>
      <c r="AH46" s="83"/>
      <c r="AI46" s="83"/>
      <c r="AJ46" s="83"/>
      <c r="AK46" s="83"/>
      <c r="AL46" s="83"/>
      <c r="AM46" s="777"/>
      <c r="AN46" s="777"/>
      <c r="AO46" s="83"/>
      <c r="AP46" s="83"/>
    </row>
    <row r="47" spans="1:42" ht="22.15" customHeight="1" x14ac:dyDescent="0.25">
      <c r="A47" s="83"/>
      <c r="B47" s="104"/>
      <c r="C47" s="150"/>
      <c r="D47" s="475"/>
      <c r="E47" s="201"/>
      <c r="F47" s="475"/>
      <c r="G47" s="773"/>
      <c r="H47" s="773"/>
      <c r="I47" s="773"/>
      <c r="J47" s="773"/>
      <c r="K47" s="152"/>
      <c r="L47" s="106"/>
      <c r="M47" s="105"/>
      <c r="N47" s="120"/>
      <c r="O47" s="861"/>
      <c r="P47" s="862"/>
      <c r="Q47" s="862"/>
      <c r="R47" s="862"/>
      <c r="S47" s="862"/>
      <c r="T47" s="863"/>
      <c r="U47" s="112"/>
      <c r="V47" s="768"/>
      <c r="W47" s="194"/>
      <c r="X47" s="769"/>
      <c r="Y47" s="769"/>
      <c r="Z47" s="798"/>
      <c r="AA47" s="113"/>
      <c r="AB47" s="113"/>
      <c r="AC47" s="105"/>
      <c r="AD47" s="777"/>
      <c r="AG47" s="83"/>
      <c r="AH47" s="83"/>
      <c r="AI47" s="83"/>
      <c r="AJ47" s="83"/>
      <c r="AK47" s="83"/>
      <c r="AL47" s="83"/>
      <c r="AM47" s="777"/>
      <c r="AN47" s="777"/>
      <c r="AO47" s="83"/>
      <c r="AP47" s="83"/>
    </row>
    <row r="48" spans="1:42" ht="22.15" customHeight="1" x14ac:dyDescent="0.25">
      <c r="A48" s="83"/>
      <c r="B48" s="104"/>
      <c r="C48" s="150"/>
      <c r="D48" s="475"/>
      <c r="E48" s="201"/>
      <c r="F48" s="475"/>
      <c r="G48" s="773"/>
      <c r="H48" s="92"/>
      <c r="I48" s="92"/>
      <c r="J48" s="92"/>
      <c r="K48" s="152"/>
      <c r="L48" s="106"/>
      <c r="M48" s="105"/>
      <c r="N48" s="120"/>
      <c r="O48" s="861"/>
      <c r="P48" s="862"/>
      <c r="Q48" s="862"/>
      <c r="R48" s="862"/>
      <c r="S48" s="862"/>
      <c r="T48" s="863"/>
      <c r="U48" s="112"/>
      <c r="V48" s="768"/>
      <c r="W48" s="194"/>
      <c r="X48" s="769"/>
      <c r="Y48" s="769"/>
      <c r="Z48" s="798"/>
      <c r="AA48" s="113"/>
      <c r="AB48" s="113"/>
      <c r="AC48" s="105"/>
      <c r="AD48" s="777"/>
      <c r="AG48" s="83"/>
      <c r="AH48" s="83"/>
      <c r="AI48" s="83"/>
      <c r="AJ48" s="83"/>
      <c r="AK48" s="83"/>
      <c r="AL48" s="83"/>
      <c r="AM48" s="777"/>
      <c r="AN48" s="777"/>
      <c r="AO48" s="83"/>
      <c r="AP48" s="83"/>
    </row>
    <row r="49" spans="1:42" ht="22.15" customHeight="1" x14ac:dyDescent="0.25">
      <c r="A49" s="83"/>
      <c r="B49" s="104"/>
      <c r="C49" s="150"/>
      <c r="D49" s="475"/>
      <c r="E49" s="177"/>
      <c r="F49" s="475"/>
      <c r="G49" s="773"/>
      <c r="H49" s="92"/>
      <c r="I49" s="92"/>
      <c r="J49" s="92"/>
      <c r="K49" s="152"/>
      <c r="L49" s="106"/>
      <c r="M49" s="105"/>
      <c r="N49" s="120"/>
      <c r="O49" s="861"/>
      <c r="P49" s="862"/>
      <c r="Q49" s="862"/>
      <c r="R49" s="862"/>
      <c r="S49" s="862"/>
      <c r="T49" s="863"/>
      <c r="U49" s="112"/>
      <c r="V49" s="768"/>
      <c r="W49" s="194"/>
      <c r="X49" s="769"/>
      <c r="Y49" s="769"/>
      <c r="Z49" s="798"/>
      <c r="AA49" s="113"/>
      <c r="AB49" s="113"/>
      <c r="AC49" s="105"/>
      <c r="AD49" s="777"/>
      <c r="AG49" s="83"/>
      <c r="AH49" s="83"/>
      <c r="AI49" s="83"/>
      <c r="AJ49" s="83"/>
      <c r="AK49" s="83"/>
      <c r="AL49" s="83"/>
      <c r="AM49" s="777"/>
      <c r="AN49" s="777"/>
      <c r="AO49" s="83"/>
      <c r="AP49" s="83"/>
    </row>
    <row r="50" spans="1:42" ht="22.15" customHeight="1" x14ac:dyDescent="0.25">
      <c r="A50" s="83"/>
      <c r="B50" s="104"/>
      <c r="C50" s="150"/>
      <c r="D50" s="475"/>
      <c r="E50" s="177"/>
      <c r="F50" s="475"/>
      <c r="G50" s="773"/>
      <c r="H50" s="92"/>
      <c r="I50" s="92"/>
      <c r="J50" s="92"/>
      <c r="K50" s="152"/>
      <c r="L50" s="106"/>
      <c r="M50" s="105"/>
      <c r="N50" s="120"/>
      <c r="O50" s="861"/>
      <c r="P50" s="862"/>
      <c r="Q50" s="862"/>
      <c r="R50" s="862"/>
      <c r="S50" s="862"/>
      <c r="T50" s="863"/>
      <c r="U50" s="112"/>
      <c r="V50" s="768"/>
      <c r="W50" s="194"/>
      <c r="X50" s="769"/>
      <c r="Y50" s="769"/>
      <c r="Z50" s="798"/>
      <c r="AA50" s="113"/>
      <c r="AB50" s="113"/>
      <c r="AC50" s="105"/>
      <c r="AD50" s="777"/>
      <c r="AG50" s="83"/>
      <c r="AH50" s="83"/>
      <c r="AI50" s="83"/>
      <c r="AJ50" s="83"/>
      <c r="AK50" s="83"/>
      <c r="AL50" s="83"/>
      <c r="AM50" s="777"/>
      <c r="AN50" s="777"/>
      <c r="AO50" s="83"/>
      <c r="AP50" s="83"/>
    </row>
    <row r="51" spans="1:42" ht="22.15" customHeight="1" x14ac:dyDescent="0.25">
      <c r="A51" s="83"/>
      <c r="B51" s="104"/>
      <c r="C51" s="150"/>
      <c r="D51" s="773"/>
      <c r="E51" s="773"/>
      <c r="F51" s="773"/>
      <c r="G51" s="773"/>
      <c r="H51" s="92"/>
      <c r="I51" s="92"/>
      <c r="J51" s="92"/>
      <c r="K51" s="152"/>
      <c r="L51" s="106"/>
      <c r="M51" s="105"/>
      <c r="N51" s="120"/>
      <c r="O51" s="861"/>
      <c r="P51" s="862"/>
      <c r="Q51" s="862"/>
      <c r="R51" s="862"/>
      <c r="S51" s="862"/>
      <c r="T51" s="863"/>
      <c r="U51" s="112"/>
      <c r="V51" s="768"/>
      <c r="W51" s="194"/>
      <c r="X51" s="769"/>
      <c r="Y51" s="769"/>
      <c r="Z51" s="798"/>
      <c r="AA51" s="113"/>
      <c r="AB51" s="113"/>
      <c r="AC51" s="105"/>
      <c r="AD51" s="777"/>
      <c r="AG51" s="83"/>
      <c r="AH51" s="83"/>
      <c r="AI51" s="83"/>
      <c r="AJ51" s="83"/>
      <c r="AK51" s="83"/>
      <c r="AL51" s="83"/>
      <c r="AM51" s="777"/>
      <c r="AN51" s="777"/>
      <c r="AO51" s="83"/>
      <c r="AP51" s="83"/>
    </row>
    <row r="52" spans="1:42" ht="22.15" customHeight="1" x14ac:dyDescent="0.25">
      <c r="A52" s="83"/>
      <c r="B52" s="104"/>
      <c r="C52" s="150"/>
      <c r="D52" s="773"/>
      <c r="E52" s="773"/>
      <c r="F52" s="773"/>
      <c r="G52" s="773"/>
      <c r="H52" s="576" t="s">
        <v>360</v>
      </c>
      <c r="I52" s="576" t="s">
        <v>674</v>
      </c>
      <c r="J52" s="550" t="s">
        <v>235</v>
      </c>
      <c r="K52" s="152"/>
      <c r="L52" s="106"/>
      <c r="M52" s="105"/>
      <c r="N52" s="120"/>
      <c r="O52" s="861"/>
      <c r="P52" s="862"/>
      <c r="Q52" s="862"/>
      <c r="R52" s="862"/>
      <c r="S52" s="862"/>
      <c r="T52" s="863"/>
      <c r="U52" s="112"/>
      <c r="V52" s="768"/>
      <c r="W52" s="194"/>
      <c r="X52" s="769"/>
      <c r="Y52" s="769"/>
      <c r="Z52" s="798"/>
      <c r="AA52" s="113"/>
      <c r="AB52" s="113"/>
      <c r="AC52" s="105"/>
      <c r="AD52" s="777"/>
      <c r="AG52" s="83"/>
      <c r="AH52" s="83"/>
      <c r="AI52" s="83"/>
      <c r="AJ52" s="83"/>
      <c r="AK52" s="83"/>
      <c r="AL52" s="83"/>
      <c r="AM52" s="777"/>
      <c r="AN52" s="777"/>
      <c r="AO52" s="83"/>
      <c r="AP52" s="83"/>
    </row>
    <row r="53" spans="1:42" ht="22.15" customHeight="1" x14ac:dyDescent="0.25">
      <c r="A53" s="83"/>
      <c r="B53" s="104"/>
      <c r="C53" s="150"/>
      <c r="D53" s="773"/>
      <c r="E53" s="773"/>
      <c r="F53" s="773"/>
      <c r="G53" s="773"/>
      <c r="H53" s="649" t="s">
        <v>677</v>
      </c>
      <c r="I53" s="561"/>
      <c r="J53" s="561"/>
      <c r="K53" s="152"/>
      <c r="L53" s="106"/>
      <c r="M53" s="105"/>
      <c r="N53" s="120"/>
      <c r="O53" s="861"/>
      <c r="P53" s="862"/>
      <c r="Q53" s="862"/>
      <c r="R53" s="862"/>
      <c r="S53" s="862"/>
      <c r="T53" s="863"/>
      <c r="U53" s="112"/>
      <c r="V53" s="768"/>
      <c r="W53" s="194"/>
      <c r="X53" s="769"/>
      <c r="Y53" s="769"/>
      <c r="Z53" s="798"/>
      <c r="AA53" s="113"/>
      <c r="AB53" s="113"/>
      <c r="AC53" s="105"/>
      <c r="AD53" s="777"/>
      <c r="AG53" s="83"/>
      <c r="AH53" s="83"/>
      <c r="AI53" s="83"/>
      <c r="AJ53" s="83"/>
      <c r="AK53" s="83"/>
      <c r="AL53" s="83"/>
      <c r="AM53" s="777"/>
      <c r="AN53" s="777"/>
      <c r="AO53" s="83"/>
      <c r="AP53" s="83"/>
    </row>
    <row r="54" spans="1:42" ht="22.15" customHeight="1" x14ac:dyDescent="0.25">
      <c r="A54" s="83"/>
      <c r="B54" s="104"/>
      <c r="C54" s="151"/>
      <c r="D54" s="153"/>
      <c r="E54" s="153"/>
      <c r="F54" s="153"/>
      <c r="G54" s="153"/>
      <c r="H54" s="153"/>
      <c r="I54" s="153"/>
      <c r="J54" s="153"/>
      <c r="K54" s="154"/>
      <c r="L54" s="106"/>
      <c r="M54" s="105"/>
      <c r="N54" s="120"/>
      <c r="O54" s="864"/>
      <c r="P54" s="865"/>
      <c r="Q54" s="865"/>
      <c r="R54" s="865"/>
      <c r="S54" s="865"/>
      <c r="T54" s="866"/>
      <c r="U54" s="112"/>
      <c r="V54" s="121"/>
      <c r="W54" s="774"/>
      <c r="X54" s="122"/>
      <c r="Y54" s="122"/>
      <c r="Z54" s="122"/>
      <c r="AA54" s="123"/>
      <c r="AB54" s="113"/>
      <c r="AC54" s="105"/>
      <c r="AD54" s="777"/>
      <c r="AG54" s="83"/>
      <c r="AH54" s="83"/>
      <c r="AI54" s="83"/>
      <c r="AK54" s="83"/>
      <c r="AL54" s="83"/>
      <c r="AM54" s="83"/>
      <c r="AN54" s="83"/>
      <c r="AO54" s="83"/>
      <c r="AP54" s="83"/>
    </row>
    <row r="55" spans="1:42" ht="22.15" customHeight="1" x14ac:dyDescent="0.25">
      <c r="A55" s="83"/>
      <c r="B55" s="104"/>
      <c r="C55" s="841" t="str">
        <f>+E6&amp;" Fuel / Raw Materials"</f>
        <v>Plant A Fuel / Raw Materials</v>
      </c>
      <c r="D55" s="842"/>
      <c r="E55" s="842"/>
      <c r="F55" s="842"/>
      <c r="G55" s="842"/>
      <c r="H55" s="842"/>
      <c r="I55" s="842"/>
      <c r="J55" s="842"/>
      <c r="K55" s="843"/>
      <c r="L55" s="106"/>
      <c r="M55" s="105"/>
      <c r="N55" s="120"/>
      <c r="O55" s="112"/>
      <c r="P55" s="112"/>
      <c r="Q55" s="112"/>
      <c r="R55" s="112"/>
      <c r="S55" s="112"/>
      <c r="T55" s="112"/>
      <c r="U55" s="112"/>
      <c r="V55" s="112"/>
      <c r="W55" s="112"/>
      <c r="X55" s="112"/>
      <c r="Y55" s="112"/>
      <c r="Z55" s="112"/>
      <c r="AA55" s="112"/>
      <c r="AB55" s="113"/>
      <c r="AC55" s="105"/>
      <c r="AD55" s="777"/>
      <c r="AE55" s="83"/>
      <c r="AG55" s="83"/>
      <c r="AH55" s="83"/>
      <c r="AI55" s="83"/>
      <c r="AK55" s="83"/>
      <c r="AL55" s="83"/>
      <c r="AM55" s="83"/>
      <c r="AN55" s="83"/>
      <c r="AO55" s="83"/>
      <c r="AP55" s="83"/>
    </row>
    <row r="56" spans="1:42" ht="22.15" customHeight="1" x14ac:dyDescent="0.25">
      <c r="A56" s="83"/>
      <c r="B56" s="104"/>
      <c r="C56" s="157"/>
      <c r="D56" s="158"/>
      <c r="E56" s="158"/>
      <c r="F56" s="158"/>
      <c r="G56" s="158"/>
      <c r="H56" s="158"/>
      <c r="I56" s="158"/>
      <c r="J56" s="158"/>
      <c r="K56" s="375"/>
      <c r="L56" s="106"/>
      <c r="M56" s="83"/>
      <c r="N56" s="104"/>
      <c r="O56" s="844" t="s">
        <v>753</v>
      </c>
      <c r="P56" s="845"/>
      <c r="Q56" s="845"/>
      <c r="R56" s="845"/>
      <c r="S56" s="845"/>
      <c r="T56" s="846"/>
      <c r="U56" s="105"/>
      <c r="V56" s="847" t="s">
        <v>761</v>
      </c>
      <c r="W56" s="848"/>
      <c r="X56" s="848"/>
      <c r="Y56" s="848"/>
      <c r="Z56" s="848"/>
      <c r="AA56" s="849"/>
      <c r="AB56" s="106"/>
      <c r="AC56" s="105"/>
      <c r="AD56" s="83"/>
      <c r="AE56" s="83"/>
      <c r="AF56" s="83"/>
      <c r="AG56" s="83"/>
      <c r="AH56" s="83"/>
      <c r="AI56" s="83"/>
      <c r="AK56" s="83"/>
      <c r="AM56" s="83"/>
      <c r="AN56" s="83"/>
      <c r="AO56" s="83"/>
      <c r="AP56" s="83"/>
    </row>
    <row r="57" spans="1:42" ht="22.15" customHeight="1" x14ac:dyDescent="0.25">
      <c r="A57" s="83"/>
      <c r="B57" s="91"/>
      <c r="C57" s="116"/>
      <c r="D57" s="148"/>
      <c r="E57" s="148"/>
      <c r="F57" s="148"/>
      <c r="G57" s="105"/>
      <c r="H57" s="479"/>
      <c r="I57" s="479"/>
      <c r="J57" s="479"/>
      <c r="K57" s="152"/>
      <c r="L57" s="106"/>
      <c r="M57" s="83"/>
      <c r="N57" s="91"/>
      <c r="O57" s="784"/>
      <c r="P57" s="785"/>
      <c r="Q57" s="785"/>
      <c r="R57" s="785"/>
      <c r="S57" s="785"/>
      <c r="T57" s="786"/>
      <c r="U57" s="105"/>
      <c r="V57" s="104"/>
      <c r="W57" s="105"/>
      <c r="X57" s="105"/>
      <c r="Y57" s="105"/>
      <c r="Z57" s="105"/>
      <c r="AA57" s="106"/>
      <c r="AB57" s="106"/>
      <c r="AC57" s="83"/>
      <c r="AD57" s="83"/>
      <c r="AE57" s="83"/>
      <c r="AF57" s="83"/>
      <c r="AG57" s="83"/>
      <c r="AI57" s="83"/>
      <c r="AK57" s="83"/>
      <c r="AM57" s="83"/>
      <c r="AN57" s="83"/>
      <c r="AO57" s="83"/>
      <c r="AP57" s="83"/>
    </row>
    <row r="58" spans="1:42" ht="22.15" customHeight="1" x14ac:dyDescent="0.25">
      <c r="A58" s="83"/>
      <c r="B58" s="91"/>
      <c r="C58" s="116"/>
      <c r="D58" s="130"/>
      <c r="E58" s="259"/>
      <c r="F58" s="259"/>
      <c r="G58" s="105"/>
      <c r="H58" s="148"/>
      <c r="I58" s="130"/>
      <c r="J58" s="148"/>
      <c r="K58" s="152"/>
      <c r="L58" s="106"/>
      <c r="M58" s="83"/>
      <c r="N58" s="104"/>
      <c r="O58" s="776"/>
      <c r="P58" s="777"/>
      <c r="Q58" s="777"/>
      <c r="R58" s="777"/>
      <c r="S58" s="777"/>
      <c r="T58" s="778"/>
      <c r="U58" s="105"/>
      <c r="V58" s="104"/>
      <c r="W58" s="833" t="s">
        <v>754</v>
      </c>
      <c r="X58" s="833"/>
      <c r="Y58" s="833"/>
      <c r="Z58" s="580" t="s">
        <v>342</v>
      </c>
      <c r="AA58" s="106"/>
      <c r="AB58" s="106"/>
      <c r="AC58" s="83"/>
      <c r="AD58" s="83"/>
      <c r="AE58" s="83"/>
      <c r="AF58" s="83"/>
      <c r="AG58" s="83"/>
      <c r="AM58" s="83"/>
      <c r="AN58" s="83"/>
      <c r="AO58" s="83"/>
      <c r="AP58" s="83"/>
    </row>
    <row r="59" spans="1:42" ht="22.15" customHeight="1" x14ac:dyDescent="0.25">
      <c r="A59" s="83"/>
      <c r="B59" s="91"/>
      <c r="C59" s="116"/>
      <c r="D59" s="259"/>
      <c r="E59" s="177"/>
      <c r="F59" s="259"/>
      <c r="G59" s="105"/>
      <c r="H59" s="259"/>
      <c r="I59" s="202"/>
      <c r="J59" s="259"/>
      <c r="K59" s="152"/>
      <c r="L59" s="106"/>
      <c r="M59" s="83"/>
      <c r="N59" s="104"/>
      <c r="O59" s="91"/>
      <c r="P59" s="782" t="s">
        <v>658</v>
      </c>
      <c r="Q59" s="777"/>
      <c r="R59" s="777"/>
      <c r="S59" s="777"/>
      <c r="T59" s="778"/>
      <c r="U59" s="105"/>
      <c r="V59" s="104"/>
      <c r="W59" s="834" t="s">
        <v>578</v>
      </c>
      <c r="X59" s="796"/>
      <c r="Y59" s="836" t="s">
        <v>579</v>
      </c>
      <c r="Z59" s="838">
        <v>1</v>
      </c>
      <c r="AA59" s="106"/>
      <c r="AB59" s="106"/>
      <c r="AC59" s="83"/>
      <c r="AD59" s="83"/>
      <c r="AE59" s="83"/>
      <c r="AF59" s="83"/>
      <c r="AG59" s="83"/>
      <c r="AM59" s="83"/>
      <c r="AN59" s="83"/>
      <c r="AO59" s="83"/>
      <c r="AP59" s="83"/>
    </row>
    <row r="60" spans="1:42" ht="22.15" customHeight="1" x14ac:dyDescent="0.25">
      <c r="A60" s="83"/>
      <c r="B60" s="91"/>
      <c r="C60" s="116"/>
      <c r="D60" s="259"/>
      <c r="E60" s="177"/>
      <c r="F60" s="259"/>
      <c r="G60" s="105"/>
      <c r="H60" s="148"/>
      <c r="I60" s="148"/>
      <c r="J60" s="148"/>
      <c r="K60" s="152"/>
      <c r="L60" s="106"/>
      <c r="M60" s="83"/>
      <c r="N60" s="104"/>
      <c r="O60" s="776"/>
      <c r="P60" s="782"/>
      <c r="Q60" s="782"/>
      <c r="R60" s="777"/>
      <c r="S60" s="777"/>
      <c r="T60" s="778"/>
      <c r="U60" s="105"/>
      <c r="V60" s="104"/>
      <c r="W60" s="835"/>
      <c r="X60" s="797"/>
      <c r="Y60" s="837"/>
      <c r="Z60" s="839"/>
      <c r="AA60" s="106"/>
      <c r="AB60" s="106"/>
      <c r="AC60" s="83"/>
      <c r="AD60" s="83"/>
      <c r="AE60" s="83"/>
      <c r="AF60" s="83"/>
      <c r="AG60" s="83"/>
      <c r="AM60" s="83"/>
      <c r="AN60" s="83"/>
      <c r="AO60" s="83"/>
      <c r="AP60" s="83"/>
    </row>
    <row r="61" spans="1:42" ht="22.15" customHeight="1" x14ac:dyDescent="0.25">
      <c r="A61" s="83"/>
      <c r="B61" s="91"/>
      <c r="C61" s="116"/>
      <c r="D61" s="259"/>
      <c r="E61" s="177"/>
      <c r="F61" s="259"/>
      <c r="G61" s="105"/>
      <c r="H61" s="148"/>
      <c r="I61" s="148"/>
      <c r="J61" s="148"/>
      <c r="K61" s="152"/>
      <c r="L61" s="106"/>
      <c r="M61" s="83"/>
      <c r="N61" s="104"/>
      <c r="O61" s="776"/>
      <c r="P61" s="782"/>
      <c r="Q61" s="782"/>
      <c r="R61" s="777"/>
      <c r="S61" s="777"/>
      <c r="T61" s="778"/>
      <c r="U61" s="105"/>
      <c r="V61" s="104"/>
      <c r="AA61" s="106"/>
      <c r="AB61" s="106"/>
      <c r="AC61" s="83"/>
      <c r="AD61" s="83"/>
      <c r="AE61" s="83"/>
      <c r="AF61" s="83"/>
      <c r="AM61" s="83"/>
      <c r="AN61" s="83"/>
      <c r="AO61" s="83"/>
      <c r="AP61" s="83"/>
    </row>
    <row r="62" spans="1:42" ht="22.15" customHeight="1" x14ac:dyDescent="0.25">
      <c r="A62" s="83"/>
      <c r="B62" s="91"/>
      <c r="C62" s="116"/>
      <c r="D62" s="259"/>
      <c r="E62" s="177"/>
      <c r="F62" s="259"/>
      <c r="G62" s="105"/>
      <c r="H62" s="148"/>
      <c r="I62" s="148"/>
      <c r="J62" s="148"/>
      <c r="K62" s="152"/>
      <c r="L62" s="106"/>
      <c r="M62" s="83"/>
      <c r="N62" s="104"/>
      <c r="O62" s="91"/>
      <c r="P62" s="782"/>
      <c r="Q62" s="782"/>
      <c r="R62" s="777"/>
      <c r="S62" s="777"/>
      <c r="T62" s="778"/>
      <c r="U62" s="105"/>
      <c r="V62" s="104"/>
      <c r="W62" s="830" t="s">
        <v>756</v>
      </c>
      <c r="X62" s="831"/>
      <c r="Y62" s="832"/>
      <c r="Z62" s="646" t="s">
        <v>342</v>
      </c>
      <c r="AA62" s="106"/>
      <c r="AB62" s="106"/>
      <c r="AC62" s="83"/>
      <c r="AD62" s="83"/>
      <c r="AF62" s="83"/>
      <c r="AM62" s="83"/>
      <c r="AN62" s="83"/>
      <c r="AO62" s="83"/>
      <c r="AP62" s="83"/>
    </row>
    <row r="63" spans="1:42" ht="22.15" customHeight="1" x14ac:dyDescent="0.25">
      <c r="A63" s="83"/>
      <c r="B63" s="91"/>
      <c r="C63" s="150"/>
      <c r="D63" s="259"/>
      <c r="E63" s="177"/>
      <c r="F63" s="259"/>
      <c r="G63" s="105"/>
      <c r="H63" s="148"/>
      <c r="I63" s="148"/>
      <c r="J63" s="148"/>
      <c r="K63" s="152"/>
      <c r="L63" s="106"/>
      <c r="M63" s="83"/>
      <c r="N63" s="104"/>
      <c r="O63" s="91"/>
      <c r="P63" s="782" t="s">
        <v>659</v>
      </c>
      <c r="Q63" s="782"/>
      <c r="R63" s="777"/>
      <c r="S63" s="777"/>
      <c r="T63" s="778"/>
      <c r="U63" s="105"/>
      <c r="V63" s="104"/>
      <c r="W63" s="834" t="str">
        <f>+W59</f>
        <v>ADD</v>
      </c>
      <c r="X63" s="826"/>
      <c r="Y63" s="836" t="str">
        <f>+Y59</f>
        <v>REMOVE</v>
      </c>
      <c r="Z63" s="838">
        <v>1</v>
      </c>
      <c r="AA63" s="106"/>
      <c r="AB63" s="106"/>
      <c r="AC63" s="83"/>
      <c r="AD63" s="83"/>
      <c r="AM63" s="83"/>
      <c r="AN63" s="83"/>
      <c r="AO63" s="83"/>
      <c r="AP63" s="83"/>
    </row>
    <row r="64" spans="1:42" ht="22.15" customHeight="1" x14ac:dyDescent="0.25">
      <c r="A64" s="83"/>
      <c r="B64" s="91"/>
      <c r="C64" s="150"/>
      <c r="D64" s="475"/>
      <c r="E64" s="177"/>
      <c r="F64" s="259"/>
      <c r="G64" s="773"/>
      <c r="H64" s="773"/>
      <c r="I64" s="773"/>
      <c r="J64" s="773"/>
      <c r="K64" s="152"/>
      <c r="L64" s="106"/>
      <c r="M64" s="83"/>
      <c r="N64" s="104"/>
      <c r="O64" s="776"/>
      <c r="P64" s="787"/>
      <c r="Q64" s="787"/>
      <c r="R64" s="777"/>
      <c r="S64" s="777"/>
      <c r="T64" s="778"/>
      <c r="U64" s="105"/>
      <c r="V64" s="104"/>
      <c r="W64" s="835"/>
      <c r="X64" s="827"/>
      <c r="Y64" s="837"/>
      <c r="Z64" s="839"/>
      <c r="AA64" s="106"/>
      <c r="AB64" s="106"/>
      <c r="AC64" s="83"/>
      <c r="AD64" s="83"/>
      <c r="AM64" s="83"/>
      <c r="AN64" s="83"/>
      <c r="AO64" s="83"/>
      <c r="AP64" s="83"/>
    </row>
    <row r="65" spans="1:42" ht="22.15" customHeight="1" x14ac:dyDescent="0.25">
      <c r="A65" s="83"/>
      <c r="B65" s="91"/>
      <c r="C65" s="150"/>
      <c r="D65" s="773"/>
      <c r="E65" s="773"/>
      <c r="F65" s="490"/>
      <c r="G65" s="773"/>
      <c r="H65" s="773"/>
      <c r="I65" s="773"/>
      <c r="J65" s="773"/>
      <c r="K65" s="152"/>
      <c r="L65" s="106"/>
      <c r="M65" s="83"/>
      <c r="N65" s="104"/>
      <c r="O65" s="776"/>
      <c r="P65" s="787"/>
      <c r="Q65" s="787"/>
      <c r="R65" s="777"/>
      <c r="S65" s="777"/>
      <c r="T65" s="778"/>
      <c r="U65" s="105"/>
      <c r="V65" s="104"/>
      <c r="W65" s="105"/>
      <c r="X65" s="105"/>
      <c r="Y65" s="105"/>
      <c r="Z65" s="105"/>
      <c r="AA65" s="106"/>
      <c r="AB65" s="106"/>
      <c r="AC65" s="83"/>
      <c r="AD65" s="83"/>
      <c r="AM65" s="83"/>
      <c r="AN65" s="83"/>
      <c r="AO65" s="83"/>
      <c r="AP65" s="83"/>
    </row>
    <row r="66" spans="1:42" ht="22.15" customHeight="1" x14ac:dyDescent="0.25">
      <c r="A66" s="83"/>
      <c r="B66" s="91"/>
      <c r="C66" s="150"/>
      <c r="D66" s="211"/>
      <c r="E66" s="211"/>
      <c r="F66" s="211"/>
      <c r="G66" s="773"/>
      <c r="H66" s="773"/>
      <c r="I66" s="773"/>
      <c r="J66" s="773"/>
      <c r="K66" s="152"/>
      <c r="L66" s="106"/>
      <c r="M66" s="83"/>
      <c r="N66" s="104"/>
      <c r="O66" s="776"/>
      <c r="P66" s="787"/>
      <c r="Q66" s="787"/>
      <c r="R66" s="777"/>
      <c r="S66" s="777"/>
      <c r="T66" s="778"/>
      <c r="U66" s="105"/>
      <c r="V66" s="104"/>
      <c r="W66" s="830" t="s">
        <v>755</v>
      </c>
      <c r="X66" s="831"/>
      <c r="Y66" s="832"/>
      <c r="Z66" s="646" t="s">
        <v>342</v>
      </c>
      <c r="AA66" s="106"/>
      <c r="AB66" s="106"/>
      <c r="AC66" s="83"/>
      <c r="AD66" s="83"/>
      <c r="AM66" s="83"/>
      <c r="AN66" s="83"/>
      <c r="AO66" s="83"/>
      <c r="AP66" s="83"/>
    </row>
    <row r="67" spans="1:42" ht="22.15" customHeight="1" x14ac:dyDescent="0.25">
      <c r="A67" s="83"/>
      <c r="B67" s="91"/>
      <c r="C67" s="150"/>
      <c r="D67" s="475"/>
      <c r="E67" s="201"/>
      <c r="F67" s="475"/>
      <c r="G67" s="773"/>
      <c r="H67" s="773"/>
      <c r="I67" s="773"/>
      <c r="J67" s="773"/>
      <c r="K67" s="152"/>
      <c r="L67" s="106"/>
      <c r="M67" s="83"/>
      <c r="N67" s="104"/>
      <c r="O67" s="91"/>
      <c r="P67" s="782" t="s">
        <v>660</v>
      </c>
      <c r="Q67" s="418"/>
      <c r="R67" s="777"/>
      <c r="S67" s="777"/>
      <c r="T67" s="778"/>
      <c r="U67" s="105"/>
      <c r="V67" s="104"/>
      <c r="W67" s="834" t="str">
        <f>+W63</f>
        <v>ADD</v>
      </c>
      <c r="X67" s="826"/>
      <c r="Y67" s="836" t="str">
        <f>+Y63</f>
        <v>REMOVE</v>
      </c>
      <c r="Z67" s="838">
        <v>1</v>
      </c>
      <c r="AA67" s="106"/>
      <c r="AB67" s="106"/>
      <c r="AC67" s="83"/>
      <c r="AD67" s="83"/>
      <c r="AM67" s="83"/>
      <c r="AN67" s="83"/>
      <c r="AO67" s="83"/>
      <c r="AP67" s="83"/>
    </row>
    <row r="68" spans="1:42" ht="22.15" customHeight="1" x14ac:dyDescent="0.25">
      <c r="A68" s="83"/>
      <c r="B68" s="91"/>
      <c r="C68" s="150"/>
      <c r="D68" s="475"/>
      <c r="E68" s="201"/>
      <c r="F68" s="475"/>
      <c r="G68" s="773"/>
      <c r="H68" s="92"/>
      <c r="I68" s="92"/>
      <c r="J68" s="92"/>
      <c r="K68" s="152"/>
      <c r="L68" s="106"/>
      <c r="M68" s="83"/>
      <c r="N68" s="104"/>
      <c r="O68" s="788"/>
      <c r="P68" s="418"/>
      <c r="Q68" s="418"/>
      <c r="R68" s="777"/>
      <c r="S68" s="777"/>
      <c r="T68" s="778"/>
      <c r="U68" s="105"/>
      <c r="V68" s="104"/>
      <c r="W68" s="835"/>
      <c r="X68" s="827"/>
      <c r="Y68" s="837"/>
      <c r="Z68" s="839"/>
      <c r="AA68" s="106"/>
      <c r="AB68" s="106"/>
      <c r="AC68" s="83"/>
      <c r="AD68" s="83"/>
      <c r="AM68" s="83"/>
      <c r="AN68" s="83"/>
      <c r="AO68" s="83"/>
      <c r="AP68" s="83"/>
    </row>
    <row r="69" spans="1:42" ht="22.15" customHeight="1" x14ac:dyDescent="0.25">
      <c r="A69" s="83"/>
      <c r="B69" s="91"/>
      <c r="C69" s="150"/>
      <c r="D69" s="475"/>
      <c r="E69" s="177"/>
      <c r="F69" s="475"/>
      <c r="G69" s="773"/>
      <c r="H69" s="92"/>
      <c r="I69" s="92"/>
      <c r="J69" s="92"/>
      <c r="K69" s="152"/>
      <c r="L69" s="106"/>
      <c r="M69" s="83"/>
      <c r="N69" s="104"/>
      <c r="O69" s="788"/>
      <c r="P69" s="418"/>
      <c r="Q69" s="418"/>
      <c r="R69" s="777"/>
      <c r="S69" s="777"/>
      <c r="T69" s="778"/>
      <c r="U69" s="105"/>
      <c r="V69" s="104"/>
      <c r="AA69" s="106"/>
      <c r="AB69" s="106"/>
      <c r="AC69" s="83"/>
      <c r="AD69" s="83"/>
      <c r="AM69" s="83"/>
      <c r="AN69" s="83"/>
      <c r="AO69" s="83"/>
      <c r="AP69" s="83"/>
    </row>
    <row r="70" spans="1:42" ht="22.15" customHeight="1" x14ac:dyDescent="0.25">
      <c r="A70" s="83"/>
      <c r="B70" s="91"/>
      <c r="C70" s="150"/>
      <c r="D70" s="475"/>
      <c r="E70" s="177"/>
      <c r="F70" s="475"/>
      <c r="G70" s="773"/>
      <c r="H70" s="92"/>
      <c r="I70" s="92"/>
      <c r="J70" s="92"/>
      <c r="K70" s="152"/>
      <c r="L70" s="106"/>
      <c r="M70" s="83"/>
      <c r="N70" s="104"/>
      <c r="O70" s="788"/>
      <c r="P70" s="418"/>
      <c r="Q70" s="418"/>
      <c r="R70" s="777"/>
      <c r="S70" s="777"/>
      <c r="T70" s="778"/>
      <c r="U70" s="105"/>
      <c r="V70" s="104"/>
      <c r="W70" s="829" t="s">
        <v>268</v>
      </c>
      <c r="X70" s="829"/>
      <c r="Y70" s="829"/>
      <c r="Z70" s="829"/>
      <c r="AA70" s="106"/>
      <c r="AB70" s="106"/>
      <c r="AC70" s="83"/>
      <c r="AD70" s="83"/>
      <c r="AM70" s="83"/>
      <c r="AN70" s="83"/>
      <c r="AO70" s="83"/>
      <c r="AP70" s="83"/>
    </row>
    <row r="71" spans="1:42" ht="22.15" customHeight="1" x14ac:dyDescent="0.25">
      <c r="A71" s="83"/>
      <c r="B71" s="91"/>
      <c r="C71" s="150"/>
      <c r="D71" s="773"/>
      <c r="E71" s="773"/>
      <c r="F71" s="773"/>
      <c r="G71" s="773"/>
      <c r="H71" s="576" t="s">
        <v>360</v>
      </c>
      <c r="I71" s="576" t="s">
        <v>674</v>
      </c>
      <c r="J71" s="550" t="s">
        <v>235</v>
      </c>
      <c r="K71" s="152"/>
      <c r="L71" s="106"/>
      <c r="M71" s="83"/>
      <c r="N71" s="104"/>
      <c r="O71" s="776"/>
      <c r="P71" s="450" t="s">
        <v>661</v>
      </c>
      <c r="Q71" s="787"/>
      <c r="R71" s="777"/>
      <c r="S71" s="777"/>
      <c r="T71" s="778"/>
      <c r="U71" s="105"/>
      <c r="V71" s="104"/>
      <c r="W71" s="828" t="s">
        <v>760</v>
      </c>
      <c r="X71" s="828"/>
      <c r="Y71" s="828"/>
      <c r="Z71" s="828"/>
      <c r="AA71" s="106"/>
      <c r="AB71" s="106"/>
      <c r="AC71" s="83"/>
      <c r="AD71" s="83"/>
      <c r="AM71" s="83"/>
      <c r="AN71" s="83"/>
      <c r="AO71" s="83"/>
      <c r="AP71" s="83"/>
    </row>
    <row r="72" spans="1:42" ht="22.15" customHeight="1" x14ac:dyDescent="0.25">
      <c r="A72" s="83"/>
      <c r="B72" s="91"/>
      <c r="C72" s="150"/>
      <c r="D72" s="773"/>
      <c r="E72" s="773"/>
      <c r="F72" s="773"/>
      <c r="G72" s="773"/>
      <c r="H72" s="649" t="s">
        <v>668</v>
      </c>
      <c r="I72" s="561"/>
      <c r="J72" s="561" t="s">
        <v>696</v>
      </c>
      <c r="K72" s="152"/>
      <c r="L72" s="106"/>
      <c r="M72" s="83"/>
      <c r="N72" s="104"/>
      <c r="O72" s="91"/>
      <c r="P72" s="787"/>
      <c r="Q72" s="787"/>
      <c r="R72" s="777"/>
      <c r="S72" s="777"/>
      <c r="T72" s="778"/>
      <c r="U72" s="105"/>
      <c r="V72" s="104"/>
      <c r="W72" s="828"/>
      <c r="X72" s="828"/>
      <c r="Y72" s="828"/>
      <c r="Z72" s="828"/>
      <c r="AA72" s="106"/>
      <c r="AB72" s="106"/>
      <c r="AC72" s="83"/>
      <c r="AD72" s="83"/>
      <c r="AM72" s="83"/>
      <c r="AN72" s="83"/>
      <c r="AO72" s="83"/>
      <c r="AP72" s="83"/>
    </row>
    <row r="73" spans="1:42" ht="22.15" customHeight="1" x14ac:dyDescent="0.25">
      <c r="A73" s="83"/>
      <c r="B73" s="91"/>
      <c r="C73" s="150"/>
      <c r="D73" s="773"/>
      <c r="E73" s="773"/>
      <c r="F73" s="773"/>
      <c r="G73" s="773"/>
      <c r="H73" s="649" t="s">
        <v>669</v>
      </c>
      <c r="I73" s="561"/>
      <c r="J73" s="561"/>
      <c r="K73" s="152"/>
      <c r="L73" s="106"/>
      <c r="M73" s="83"/>
      <c r="N73" s="104"/>
      <c r="O73" s="776"/>
      <c r="P73" s="787"/>
      <c r="Q73" s="787"/>
      <c r="R73" s="777"/>
      <c r="S73" s="777"/>
      <c r="T73" s="778"/>
      <c r="U73" s="105"/>
      <c r="V73" s="104"/>
      <c r="W73" s="828"/>
      <c r="X73" s="828"/>
      <c r="Y73" s="828"/>
      <c r="Z73" s="828"/>
      <c r="AA73" s="106"/>
      <c r="AB73" s="106"/>
      <c r="AC73" s="83"/>
      <c r="AD73" s="83"/>
      <c r="AM73" s="83"/>
      <c r="AN73" s="83"/>
      <c r="AO73" s="83"/>
      <c r="AP73" s="83"/>
    </row>
    <row r="74" spans="1:42" ht="22.15" customHeight="1" x14ac:dyDescent="0.25">
      <c r="A74" s="83"/>
      <c r="B74" s="91"/>
      <c r="C74" s="151"/>
      <c r="D74" s="153"/>
      <c r="E74" s="153"/>
      <c r="F74" s="153"/>
      <c r="G74" s="153"/>
      <c r="H74" s="153"/>
      <c r="I74" s="153"/>
      <c r="J74" s="153"/>
      <c r="K74" s="154"/>
      <c r="L74" s="106"/>
      <c r="M74" s="83"/>
      <c r="N74" s="104"/>
      <c r="O74" s="779"/>
      <c r="P74" s="789"/>
      <c r="Q74" s="789"/>
      <c r="R74" s="780"/>
      <c r="S74" s="780"/>
      <c r="T74" s="781"/>
      <c r="U74" s="105"/>
      <c r="V74" s="107"/>
      <c r="W74" s="108"/>
      <c r="X74" s="108"/>
      <c r="Y74" s="108"/>
      <c r="Z74" s="108"/>
      <c r="AA74" s="109"/>
      <c r="AB74" s="106"/>
      <c r="AC74" s="83"/>
      <c r="AD74" s="83"/>
      <c r="AM74" s="83"/>
      <c r="AN74" s="83"/>
      <c r="AO74" s="83"/>
      <c r="AP74" s="83"/>
    </row>
    <row r="75" spans="1:42" ht="18" customHeight="1" x14ac:dyDescent="0.25">
      <c r="A75" s="83"/>
      <c r="B75" s="399"/>
      <c r="C75" s="400"/>
      <c r="D75" s="400"/>
      <c r="E75" s="400"/>
      <c r="F75" s="400"/>
      <c r="G75" s="400"/>
      <c r="H75" s="400"/>
      <c r="I75" s="108"/>
      <c r="J75" s="108"/>
      <c r="K75" s="108"/>
      <c r="L75" s="109"/>
      <c r="M75" s="83"/>
      <c r="N75" s="107"/>
      <c r="O75" s="783"/>
      <c r="P75" s="783"/>
      <c r="Q75" s="783"/>
      <c r="R75" s="108"/>
      <c r="S75" s="108"/>
      <c r="T75" s="108"/>
      <c r="U75" s="108"/>
      <c r="V75" s="108"/>
      <c r="W75" s="108"/>
      <c r="X75" s="108"/>
      <c r="Y75" s="108"/>
      <c r="Z75" s="108"/>
      <c r="AA75" s="108"/>
      <c r="AB75" s="109"/>
      <c r="AC75" s="83"/>
      <c r="AD75" s="83"/>
      <c r="AM75" s="83"/>
      <c r="AN75" s="83"/>
      <c r="AO75" s="83"/>
      <c r="AP75" s="83"/>
    </row>
    <row r="76" spans="1:42" ht="18" customHeight="1" x14ac:dyDescent="0.25">
      <c r="A76" s="83"/>
      <c r="I76" s="83"/>
      <c r="J76" s="83"/>
      <c r="K76" s="83"/>
      <c r="L76" s="83"/>
      <c r="M76" s="83"/>
      <c r="N76" s="105"/>
      <c r="O76" s="449"/>
      <c r="P76" s="449"/>
      <c r="Q76" s="449"/>
      <c r="R76" s="105"/>
      <c r="S76" s="105"/>
      <c r="T76" s="105"/>
      <c r="U76" s="83"/>
      <c r="V76" s="83"/>
      <c r="W76" s="83"/>
      <c r="X76" s="83"/>
      <c r="Y76" s="83"/>
      <c r="Z76" s="83"/>
      <c r="AA76" s="83"/>
      <c r="AB76" s="83"/>
      <c r="AC76" s="83"/>
      <c r="AD76" s="83"/>
      <c r="AM76" s="83"/>
      <c r="AN76" s="83"/>
      <c r="AO76" s="83"/>
      <c r="AP76" s="83"/>
    </row>
    <row r="77" spans="1:42" ht="18" customHeight="1" x14ac:dyDescent="0.25">
      <c r="A77" s="83"/>
      <c r="I77" s="83"/>
      <c r="J77" s="83"/>
      <c r="K77" s="83"/>
      <c r="L77" s="83"/>
      <c r="M77" s="83"/>
      <c r="N77" s="105"/>
      <c r="P77" s="449"/>
      <c r="Q77" s="449"/>
      <c r="R77" s="105"/>
      <c r="S77" s="105"/>
      <c r="T77" s="105"/>
      <c r="U77" s="83"/>
      <c r="V77" s="83"/>
      <c r="W77" s="83"/>
      <c r="X77" s="83"/>
      <c r="Y77" s="83"/>
      <c r="Z77" s="83"/>
      <c r="AA77" s="83"/>
      <c r="AB77" s="83"/>
      <c r="AC77" s="83"/>
      <c r="AD77" s="83"/>
      <c r="AM77" s="83"/>
      <c r="AN77" s="83"/>
      <c r="AO77" s="83"/>
      <c r="AP77" s="83"/>
    </row>
    <row r="78" spans="1:42" ht="18" customHeight="1" x14ac:dyDescent="0.25">
      <c r="A78" s="83"/>
      <c r="I78" s="83"/>
      <c r="J78" s="83"/>
      <c r="K78" s="83"/>
      <c r="L78" s="83"/>
      <c r="M78" s="83"/>
      <c r="N78" s="105"/>
      <c r="O78" s="92"/>
      <c r="P78" s="105"/>
      <c r="Q78" s="105"/>
      <c r="R78" s="105"/>
      <c r="S78" s="105"/>
      <c r="T78" s="105"/>
      <c r="U78" s="83"/>
      <c r="V78" s="83"/>
      <c r="W78" s="83"/>
      <c r="X78" s="83"/>
      <c r="Y78" s="83"/>
      <c r="Z78" s="83"/>
      <c r="AA78" s="83"/>
      <c r="AB78" s="83"/>
      <c r="AC78" s="83"/>
      <c r="AD78" s="83"/>
      <c r="AM78" s="83"/>
      <c r="AN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M79" s="83"/>
      <c r="AN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M80" s="83"/>
      <c r="AN80" s="83"/>
      <c r="AO80" s="83"/>
      <c r="AP80" s="83"/>
    </row>
    <row r="81" spans="1:42" ht="18" customHeight="1" x14ac:dyDescent="0.25">
      <c r="A81" s="83"/>
      <c r="I81" s="83"/>
      <c r="J81" s="83"/>
      <c r="K81" s="83"/>
      <c r="L81" s="83"/>
      <c r="M81" s="83"/>
      <c r="N81" s="105"/>
      <c r="O81" s="105"/>
      <c r="P81" s="105"/>
      <c r="Q81" s="105"/>
      <c r="R81" s="105"/>
      <c r="S81" s="105"/>
      <c r="T81" s="105"/>
      <c r="U81" s="83"/>
      <c r="V81" s="83"/>
      <c r="W81" s="83"/>
      <c r="X81" s="83"/>
      <c r="Y81" s="83"/>
      <c r="Z81" s="83"/>
      <c r="AA81" s="83"/>
      <c r="AB81" s="83"/>
      <c r="AC81" s="83"/>
      <c r="AD81" s="83"/>
      <c r="AM81" s="83"/>
      <c r="AN81" s="83"/>
      <c r="AO81" s="83"/>
      <c r="AP81" s="83"/>
    </row>
    <row r="82" spans="1:42" ht="15" customHeight="1"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M82" s="83"/>
      <c r="AN82" s="83"/>
      <c r="AO82" s="83"/>
      <c r="AP82" s="83"/>
    </row>
    <row r="83" spans="1:42" x14ac:dyDescent="0.25">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O86" s="83"/>
      <c r="AP86" s="83"/>
    </row>
  </sheetData>
  <mergeCells count="40">
    <mergeCell ref="X46:AA46"/>
    <mergeCell ref="O38:T54"/>
    <mergeCell ref="X37:AA37"/>
    <mergeCell ref="X38:AA38"/>
    <mergeCell ref="X39:AA39"/>
    <mergeCell ref="X43:AA43"/>
    <mergeCell ref="X41:AA41"/>
    <mergeCell ref="X42:AA42"/>
    <mergeCell ref="AE3:AG3"/>
    <mergeCell ref="C55:K55"/>
    <mergeCell ref="O56:T56"/>
    <mergeCell ref="V56:AA56"/>
    <mergeCell ref="O37:T37"/>
    <mergeCell ref="C3:K3"/>
    <mergeCell ref="O3:AA3"/>
    <mergeCell ref="I5:J5"/>
    <mergeCell ref="D5:E5"/>
    <mergeCell ref="C12:K12"/>
    <mergeCell ref="C35:K35"/>
    <mergeCell ref="O35:T35"/>
    <mergeCell ref="V35:AA35"/>
    <mergeCell ref="X40:AA40"/>
    <mergeCell ref="X44:AA44"/>
    <mergeCell ref="X45:AA45"/>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disablePrompts="1"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676275</xdr:colOff>
                    <xdr:row>61</xdr:row>
                    <xdr:rowOff>57150</xdr:rowOff>
                  </from>
                  <to>
                    <xdr:col>19</xdr:col>
                    <xdr:colOff>847725</xdr:colOff>
                    <xdr:row>64</xdr:row>
                    <xdr:rowOff>133350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666750</xdr:colOff>
                    <xdr:row>65</xdr:row>
                    <xdr:rowOff>57150</xdr:rowOff>
                  </from>
                  <to>
                    <xdr:col>19</xdr:col>
                    <xdr:colOff>828675</xdr:colOff>
                    <xdr:row>68</xdr:row>
                    <xdr:rowOff>85725</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666750</xdr:colOff>
                    <xdr:row>69</xdr:row>
                    <xdr:rowOff>57150</xdr:rowOff>
                  </from>
                  <to>
                    <xdr:col>19</xdr:col>
                    <xdr:colOff>828675</xdr:colOff>
                    <xdr:row>72</xdr:row>
                    <xdr:rowOff>57150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695325</xdr:colOff>
                    <xdr:row>57</xdr:row>
                    <xdr:rowOff>9525</xdr:rowOff>
                  </from>
                  <to>
                    <xdr:col>19</xdr:col>
                    <xdr:colOff>857250</xdr:colOff>
                    <xdr:row>60</xdr:row>
                    <xdr:rowOff>142875</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58</xdr:row>
                    <xdr:rowOff>19050</xdr:rowOff>
                  </from>
                  <to>
                    <xdr:col>23</xdr:col>
                    <xdr:colOff>609600</xdr:colOff>
                    <xdr:row>59</xdr:row>
                    <xdr:rowOff>247650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676275</xdr:colOff>
                    <xdr:row>58</xdr:row>
                    <xdr:rowOff>28575</xdr:rowOff>
                  </from>
                  <to>
                    <xdr:col>23</xdr:col>
                    <xdr:colOff>1228725</xdr:colOff>
                    <xdr:row>59</xdr:row>
                    <xdr:rowOff>247650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62</xdr:row>
                    <xdr:rowOff>19050</xdr:rowOff>
                  </from>
                  <to>
                    <xdr:col>23</xdr:col>
                    <xdr:colOff>609600</xdr:colOff>
                    <xdr:row>63</xdr:row>
                    <xdr:rowOff>247650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676275</xdr:colOff>
                    <xdr:row>62</xdr:row>
                    <xdr:rowOff>28575</xdr:rowOff>
                  </from>
                  <to>
                    <xdr:col>23</xdr:col>
                    <xdr:colOff>1228725</xdr:colOff>
                    <xdr:row>63</xdr:row>
                    <xdr:rowOff>247650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66</xdr:row>
                    <xdr:rowOff>19050</xdr:rowOff>
                  </from>
                  <to>
                    <xdr:col>23</xdr:col>
                    <xdr:colOff>609600</xdr:colOff>
                    <xdr:row>67</xdr:row>
                    <xdr:rowOff>247650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676275</xdr:colOff>
                    <xdr:row>66</xdr:row>
                    <xdr:rowOff>28575</xdr:rowOff>
                  </from>
                  <to>
                    <xdr:col>23</xdr:col>
                    <xdr:colOff>1228725</xdr:colOff>
                    <xdr:row>67</xdr:row>
                    <xdr:rowOff>247650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85" zoomScaleNormal="85" workbookViewId="0">
      <selection activeCell="L13" sqref="L13"/>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8"/>
    <col min="44" max="44" width="11.140625" style="45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149999999999999" customHeight="1" x14ac:dyDescent="0.25">
      <c r="A3" s="83"/>
      <c r="B3" s="104"/>
      <c r="C3" s="850" t="s">
        <v>270</v>
      </c>
      <c r="D3" s="851"/>
      <c r="E3" s="851"/>
      <c r="F3" s="851"/>
      <c r="G3" s="850" t="s">
        <v>229</v>
      </c>
      <c r="H3" s="852"/>
      <c r="J3" s="850" t="s">
        <v>679</v>
      </c>
      <c r="K3" s="851"/>
      <c r="L3" s="851"/>
      <c r="M3" s="852"/>
      <c r="N3" s="212"/>
      <c r="O3" s="850" t="str">
        <f>+E6</f>
        <v>Unit 1</v>
      </c>
      <c r="P3" s="851"/>
      <c r="Q3" s="851"/>
      <c r="R3" s="851"/>
      <c r="S3" s="852"/>
      <c r="T3" s="105"/>
      <c r="U3" s="124"/>
      <c r="V3" s="112"/>
      <c r="W3" s="841" t="str">
        <f>+E6&amp;" Diagram"</f>
        <v>Unit 1 Diagram</v>
      </c>
      <c r="X3" s="842"/>
      <c r="Y3" s="842"/>
      <c r="Z3" s="842"/>
      <c r="AA3" s="842"/>
      <c r="AB3" s="842"/>
      <c r="AC3" s="842"/>
      <c r="AD3" s="842"/>
      <c r="AE3" s="842"/>
      <c r="AF3" s="842"/>
      <c r="AG3" s="842"/>
      <c r="AH3" s="842"/>
      <c r="AI3" s="842"/>
      <c r="AJ3" s="842"/>
      <c r="AK3" s="842"/>
      <c r="AL3" s="842"/>
      <c r="AM3" s="842"/>
      <c r="AN3" s="843"/>
      <c r="AO3" s="113"/>
      <c r="AP3" s="83"/>
      <c r="AQ3" s="243"/>
      <c r="AR3" s="457"/>
    </row>
    <row r="4" spans="1:44" ht="16.149999999999999" customHeight="1" x14ac:dyDescent="0.25">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149999999999999" customHeight="1" x14ac:dyDescent="0.25">
      <c r="A5" s="83"/>
      <c r="B5" s="104"/>
      <c r="C5" s="105"/>
      <c r="D5" s="853" t="s">
        <v>265</v>
      </c>
      <c r="E5" s="854"/>
      <c r="F5" s="105"/>
      <c r="G5" s="853" t="s">
        <v>267</v>
      </c>
      <c r="H5" s="854"/>
      <c r="J5" s="875"/>
      <c r="K5" s="876"/>
      <c r="L5" s="216" t="s">
        <v>470</v>
      </c>
      <c r="M5" s="525" t="s">
        <v>504</v>
      </c>
      <c r="N5" s="526"/>
      <c r="O5" s="814" t="s">
        <v>580</v>
      </c>
      <c r="P5" s="815"/>
      <c r="Q5" s="815"/>
      <c r="R5" s="815"/>
      <c r="S5" s="816"/>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149999999999999" customHeight="1" x14ac:dyDescent="0.25">
      <c r="A6" s="83"/>
      <c r="B6" s="104"/>
      <c r="C6" s="888" t="s">
        <v>496</v>
      </c>
      <c r="D6" s="280" t="s">
        <v>694</v>
      </c>
      <c r="E6" s="577" t="str">
        <f>+'Plant Overview'!V38</f>
        <v>Unit 1</v>
      </c>
      <c r="F6" s="105"/>
      <c r="G6" s="85"/>
      <c r="H6" s="398" t="s">
        <v>262</v>
      </c>
      <c r="J6" s="877"/>
      <c r="K6" s="878"/>
      <c r="L6" s="190" t="s">
        <v>471</v>
      </c>
      <c r="M6" s="86" t="s">
        <v>505</v>
      </c>
      <c r="N6" s="526"/>
      <c r="O6" s="674"/>
      <c r="P6" s="526"/>
      <c r="Q6" s="526"/>
      <c r="R6" s="526"/>
      <c r="S6" s="675"/>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149999999999999" customHeight="1" x14ac:dyDescent="0.25">
      <c r="A7" s="83"/>
      <c r="B7" s="104"/>
      <c r="C7" s="889"/>
      <c r="D7" s="280" t="s">
        <v>693</v>
      </c>
      <c r="E7" s="577" t="str">
        <f>+'Plant Overview'!W38</f>
        <v>U-100</v>
      </c>
      <c r="F7" s="105"/>
      <c r="G7" s="96"/>
      <c r="H7" s="398" t="s">
        <v>263</v>
      </c>
      <c r="J7" s="877"/>
      <c r="K7" s="878"/>
      <c r="L7" s="216" t="s">
        <v>465</v>
      </c>
      <c r="M7" s="525" t="s">
        <v>503</v>
      </c>
      <c r="N7" s="526"/>
      <c r="O7" s="674"/>
      <c r="P7" s="526"/>
      <c r="Q7" s="526"/>
      <c r="R7" s="526"/>
      <c r="S7" s="675"/>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149999999999999" customHeight="1" x14ac:dyDescent="0.25">
      <c r="A8" s="83"/>
      <c r="B8" s="104"/>
      <c r="C8" s="826"/>
      <c r="D8" s="893" t="s">
        <v>312</v>
      </c>
      <c r="E8" s="895"/>
      <c r="F8" s="105"/>
      <c r="G8" s="95"/>
      <c r="H8" s="478" t="s">
        <v>264</v>
      </c>
      <c r="J8" s="877"/>
      <c r="K8" s="878"/>
      <c r="L8" s="216" t="s">
        <v>466</v>
      </c>
      <c r="M8" s="525" t="s">
        <v>501</v>
      </c>
      <c r="N8" s="526"/>
      <c r="O8" s="674"/>
      <c r="P8" s="526"/>
      <c r="Q8" s="526"/>
      <c r="R8" s="526"/>
      <c r="S8" s="675"/>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149999999999999" customHeight="1" x14ac:dyDescent="0.25">
      <c r="A9" s="83"/>
      <c r="B9" s="104"/>
      <c r="C9" s="827"/>
      <c r="D9" s="894"/>
      <c r="E9" s="896"/>
      <c r="F9" s="105"/>
      <c r="G9" s="110"/>
      <c r="H9" s="624" t="s">
        <v>268</v>
      </c>
      <c r="J9" s="879"/>
      <c r="K9" s="880"/>
      <c r="L9" s="216" t="s">
        <v>467</v>
      </c>
      <c r="M9" s="525" t="s">
        <v>502</v>
      </c>
      <c r="N9" s="526"/>
      <c r="O9" s="676"/>
      <c r="P9" s="677"/>
      <c r="Q9" s="677"/>
      <c r="R9" s="677"/>
      <c r="S9" s="678"/>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149999999999999" customHeight="1" x14ac:dyDescent="0.25">
      <c r="A11" s="83"/>
      <c r="B11" s="104"/>
      <c r="C11" s="105"/>
      <c r="D11" s="850" t="s">
        <v>572</v>
      </c>
      <c r="E11" s="851"/>
      <c r="F11" s="851"/>
      <c r="G11" s="851"/>
      <c r="H11" s="851"/>
      <c r="I11" s="851"/>
      <c r="J11" s="851"/>
      <c r="K11" s="851"/>
      <c r="L11" s="852"/>
      <c r="M11" s="850" t="s">
        <v>581</v>
      </c>
      <c r="N11" s="851"/>
      <c r="O11" s="851"/>
      <c r="P11" s="851"/>
      <c r="Q11" s="851"/>
      <c r="R11" s="852"/>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149999999999999" customHeight="1" x14ac:dyDescent="0.25">
      <c r="A12" s="83"/>
      <c r="B12" s="104"/>
      <c r="C12" s="565" t="s">
        <v>239</v>
      </c>
      <c r="D12" s="566" t="s">
        <v>229</v>
      </c>
      <c r="E12" s="566" t="s">
        <v>348</v>
      </c>
      <c r="F12" s="567" t="s">
        <v>234</v>
      </c>
      <c r="G12" s="567" t="s">
        <v>476</v>
      </c>
      <c r="H12" s="568" t="s">
        <v>235</v>
      </c>
      <c r="I12" s="566" t="s">
        <v>236</v>
      </c>
      <c r="J12" s="569" t="s">
        <v>341</v>
      </c>
      <c r="K12" s="567" t="s">
        <v>340</v>
      </c>
      <c r="L12" s="567" t="s">
        <v>535</v>
      </c>
      <c r="M12" s="570" t="s">
        <v>230</v>
      </c>
      <c r="N12" s="570" t="s">
        <v>231</v>
      </c>
      <c r="O12" s="570" t="s">
        <v>232</v>
      </c>
      <c r="P12" s="570" t="s">
        <v>225</v>
      </c>
      <c r="Q12" s="570" t="s">
        <v>233</v>
      </c>
      <c r="R12" s="570" t="s">
        <v>266</v>
      </c>
      <c r="S12" s="571" t="s">
        <v>667</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149999999999999" customHeight="1" x14ac:dyDescent="0.25">
      <c r="A13" s="83"/>
      <c r="B13" s="104"/>
      <c r="C13" s="447"/>
      <c r="D13" s="235" t="s">
        <v>242</v>
      </c>
      <c r="E13" s="270" t="s">
        <v>15</v>
      </c>
      <c r="F13" s="395"/>
      <c r="G13" s="395"/>
      <c r="H13" s="491" t="str">
        <f>IF(Tabla278891121136[[#This Row],[Subtype]]="","",VLOOKUP(Tabla278891121136[[#This Row],[Subtype]],'Unit-X00 Equipment'!$E$13:$H$107,4,FALSE))</f>
        <v>m</v>
      </c>
      <c r="I13" s="484"/>
      <c r="J13" s="484"/>
      <c r="K13" s="484"/>
      <c r="L13" s="484"/>
      <c r="M13" s="362"/>
      <c r="N13" s="221"/>
      <c r="O13" s="221"/>
      <c r="P13" s="221"/>
      <c r="Q13" s="221"/>
      <c r="R13" s="527"/>
      <c r="S13" s="225">
        <f>+IF(Tabla258790120135[[#This Row],[Equipment]]="","",Q13*R13/10^6)</f>
        <v>0</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149999999999999" customHeight="1" x14ac:dyDescent="0.25">
      <c r="A14" s="83"/>
      <c r="B14" s="104"/>
      <c r="C14" s="100"/>
      <c r="D14" s="235"/>
      <c r="E14" s="270"/>
      <c r="F14" s="395"/>
      <c r="G14" s="395"/>
      <c r="H14" s="491" t="str">
        <f>IF(Tabla278891121136[[#This Row],[Subtype]]="","",VLOOKUP(Tabla278891121136[[#This Row],[Subtype]],'Unit-X00 Equipment'!$E$13:$H$107,4,FALSE))</f>
        <v/>
      </c>
      <c r="I14" s="484"/>
      <c r="J14" s="484"/>
      <c r="K14" s="484"/>
      <c r="L14" s="484"/>
      <c r="M14" s="272"/>
      <c r="N14" s="395"/>
      <c r="O14" s="395"/>
      <c r="P14" s="395"/>
      <c r="Q14" s="395"/>
      <c r="R14" s="528"/>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149999999999999" customHeight="1" x14ac:dyDescent="0.25">
      <c r="A15" s="83"/>
      <c r="B15" s="104"/>
      <c r="C15" s="258"/>
      <c r="D15" s="270"/>
      <c r="E15" s="270"/>
      <c r="F15" s="517"/>
      <c r="G15" s="517"/>
      <c r="H15" s="518" t="str">
        <f>IF(Tabla278891121136[[#This Row],[Subtype]]="","",VLOOKUP(Tabla278891121136[[#This Row],[Subtype]],'Unit-X00 Equipment'!$E$13:$H$107,4,FALSE))</f>
        <v/>
      </c>
      <c r="I15" s="517"/>
      <c r="J15" s="517"/>
      <c r="K15" s="517"/>
      <c r="L15" s="517"/>
      <c r="M15" s="172"/>
      <c r="N15" s="517"/>
      <c r="O15" s="395"/>
      <c r="P15" s="168"/>
      <c r="Q15" s="169"/>
      <c r="R15" s="528"/>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149999999999999" customHeight="1" x14ac:dyDescent="0.25">
      <c r="A16" s="83"/>
      <c r="B16" s="104"/>
      <c r="C16" s="258"/>
      <c r="D16" s="235"/>
      <c r="E16" s="270"/>
      <c r="F16" s="395"/>
      <c r="G16" s="395"/>
      <c r="H16" s="491" t="str">
        <f>IF(Tabla278891121136[[#This Row],[Subtype]]="","",VLOOKUP(Tabla278891121136[[#This Row],[Subtype]],'Unit-X00 Equipment'!$E$13:$H$107,4,FALSE))</f>
        <v/>
      </c>
      <c r="I16" s="484"/>
      <c r="J16" s="484"/>
      <c r="K16" s="484"/>
      <c r="L16" s="484"/>
      <c r="M16" s="272"/>
      <c r="N16" s="395"/>
      <c r="O16" s="395"/>
      <c r="P16" s="395"/>
      <c r="Q16" s="395"/>
      <c r="R16" s="528"/>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149999999999999" customHeight="1" x14ac:dyDescent="0.25">
      <c r="A17" s="83"/>
      <c r="B17" s="104"/>
      <c r="C17" s="100"/>
      <c r="D17" s="235"/>
      <c r="E17" s="269"/>
      <c r="F17" s="395"/>
      <c r="G17" s="395"/>
      <c r="H17" s="491" t="str">
        <f>IF(Tabla278891121136[[#This Row],[Subtype]]="","",VLOOKUP(Tabla278891121136[[#This Row],[Subtype]],'Unit-X00 Equipment'!$E$13:$H$107,4,FALSE))</f>
        <v/>
      </c>
      <c r="I17" s="484"/>
      <c r="J17" s="484"/>
      <c r="K17" s="484"/>
      <c r="L17" s="484"/>
      <c r="M17" s="272"/>
      <c r="N17" s="395"/>
      <c r="O17" s="395"/>
      <c r="P17" s="395"/>
      <c r="Q17" s="395"/>
      <c r="R17" s="528"/>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149999999999999" customHeight="1" x14ac:dyDescent="0.25">
      <c r="A18" s="83"/>
      <c r="B18" s="104"/>
      <c r="C18" s="100"/>
      <c r="D18" s="235"/>
      <c r="E18" s="270"/>
      <c r="F18" s="395"/>
      <c r="G18" s="395"/>
      <c r="H18" s="491" t="str">
        <f>IF(Tabla278891121136[[#This Row],[Subtype]]="","",VLOOKUP(Tabla278891121136[[#This Row],[Subtype]],'Unit-X00 Equipment'!$E$13:$H$107,4,FALSE))</f>
        <v/>
      </c>
      <c r="I18" s="484"/>
      <c r="J18" s="484"/>
      <c r="K18" s="484"/>
      <c r="L18" s="395"/>
      <c r="M18" s="272"/>
      <c r="N18" s="395"/>
      <c r="O18" s="395"/>
      <c r="P18" s="395"/>
      <c r="Q18" s="395"/>
      <c r="R18" s="528"/>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149999999999999" customHeight="1" x14ac:dyDescent="0.25">
      <c r="A19" s="83"/>
      <c r="B19" s="104"/>
      <c r="C19" s="100"/>
      <c r="D19" s="235"/>
      <c r="E19" s="270"/>
      <c r="F19" s="395"/>
      <c r="G19" s="395"/>
      <c r="H19" s="491" t="str">
        <f>IF(Tabla278891121136[[#This Row],[Subtype]]="","",VLOOKUP(Tabla278891121136[[#This Row],[Subtype]],'Unit-X00 Equipment'!$E$13:$H$107,4,FALSE))</f>
        <v/>
      </c>
      <c r="I19" s="484"/>
      <c r="J19" s="484"/>
      <c r="K19" s="484"/>
      <c r="L19" s="395"/>
      <c r="M19" s="272"/>
      <c r="N19" s="395"/>
      <c r="O19" s="395"/>
      <c r="P19" s="395"/>
      <c r="Q19" s="395"/>
      <c r="R19" s="528"/>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149999999999999" customHeight="1" x14ac:dyDescent="0.25">
      <c r="A20" s="83"/>
      <c r="B20" s="104"/>
      <c r="C20" s="100"/>
      <c r="D20" s="235"/>
      <c r="E20" s="270"/>
      <c r="F20" s="395"/>
      <c r="G20" s="395"/>
      <c r="H20" s="491" t="str">
        <f>IF(Tabla278891121136[[#This Row],[Subtype]]="","",VLOOKUP(Tabla278891121136[[#This Row],[Subtype]],'Unit-X00 Equipment'!$E$13:$H$107,4,FALSE))</f>
        <v/>
      </c>
      <c r="I20" s="484"/>
      <c r="J20" s="484"/>
      <c r="K20" s="484"/>
      <c r="L20" s="484"/>
      <c r="M20" s="272"/>
      <c r="N20" s="395"/>
      <c r="O20" s="395"/>
      <c r="P20" s="395"/>
      <c r="Q20" s="395"/>
      <c r="R20" s="528"/>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149999999999999" customHeight="1" x14ac:dyDescent="0.25">
      <c r="A21" s="83"/>
      <c r="B21" s="104"/>
      <c r="C21" s="100"/>
      <c r="D21" s="235"/>
      <c r="E21" s="270"/>
      <c r="F21" s="395"/>
      <c r="G21" s="395"/>
      <c r="H21" s="491" t="str">
        <f>IF(Tabla278891121136[[#This Row],[Subtype]]="","",VLOOKUP(Tabla278891121136[[#This Row],[Subtype]],'Unit-X00 Equipment'!$E$13:$H$107,4,FALSE))</f>
        <v/>
      </c>
      <c r="I21" s="484"/>
      <c r="J21" s="484"/>
      <c r="K21" s="484"/>
      <c r="L21" s="484"/>
      <c r="M21" s="272"/>
      <c r="N21" s="395"/>
      <c r="O21" s="395"/>
      <c r="P21" s="395"/>
      <c r="Q21" s="395"/>
      <c r="R21" s="528"/>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149999999999999" customHeight="1" x14ac:dyDescent="0.25">
      <c r="A22" s="83"/>
      <c r="B22" s="104"/>
      <c r="C22" s="100"/>
      <c r="D22" s="235"/>
      <c r="E22" s="270"/>
      <c r="F22" s="395"/>
      <c r="G22" s="395"/>
      <c r="H22" s="491" t="str">
        <f>IF(Tabla278891121136[[#This Row],[Subtype]]="","",VLOOKUP(Tabla278891121136[[#This Row],[Subtype]],'Unit-X00 Equipment'!$E$13:$H$107,4,FALSE))</f>
        <v/>
      </c>
      <c r="I22" s="484"/>
      <c r="J22" s="484"/>
      <c r="K22" s="484"/>
      <c r="L22" s="484"/>
      <c r="M22" s="272"/>
      <c r="N22" s="395"/>
      <c r="O22" s="395"/>
      <c r="P22" s="395"/>
      <c r="Q22" s="395"/>
      <c r="R22" s="528"/>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149999999999999" customHeight="1" x14ac:dyDescent="0.25">
      <c r="A23" s="83"/>
      <c r="B23" s="104"/>
      <c r="C23" s="100"/>
      <c r="D23" s="270"/>
      <c r="E23" s="270"/>
      <c r="F23" s="395"/>
      <c r="G23" s="484"/>
      <c r="H23" s="491" t="str">
        <f>IF(Tabla278891121136[[#This Row],[Subtype]]="","",VLOOKUP(Tabla278891121136[[#This Row],[Subtype]],'Unit-X00 Equipment'!$E$13:$H$107,4,FALSE))</f>
        <v/>
      </c>
      <c r="I23" s="484"/>
      <c r="J23" s="484"/>
      <c r="K23" s="484"/>
      <c r="L23" s="484"/>
      <c r="M23" s="272"/>
      <c r="N23" s="395"/>
      <c r="O23" s="395"/>
      <c r="P23" s="395"/>
      <c r="Q23" s="395"/>
      <c r="R23" s="528"/>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149999999999999" customHeight="1" x14ac:dyDescent="0.25">
      <c r="A24" s="83"/>
      <c r="B24" s="104"/>
      <c r="C24" s="100"/>
      <c r="D24" s="235"/>
      <c r="E24" s="270"/>
      <c r="F24" s="395"/>
      <c r="G24" s="395"/>
      <c r="H24" s="491" t="str">
        <f>IF(Tabla278891121136[[#This Row],[Subtype]]="","",VLOOKUP(Tabla278891121136[[#This Row],[Subtype]],'Unit-X00 Equipment'!$E$13:$H$107,4,FALSE))</f>
        <v/>
      </c>
      <c r="I24" s="484"/>
      <c r="J24" s="484"/>
      <c r="K24" s="484"/>
      <c r="L24" s="484"/>
      <c r="M24" s="272"/>
      <c r="N24" s="395"/>
      <c r="O24" s="395"/>
      <c r="P24" s="395"/>
      <c r="Q24" s="395"/>
      <c r="R24" s="528"/>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149999999999999" customHeight="1" x14ac:dyDescent="0.25">
      <c r="A25" s="83"/>
      <c r="B25" s="104"/>
      <c r="C25" s="100"/>
      <c r="D25" s="235"/>
      <c r="E25" s="270"/>
      <c r="F25" s="395"/>
      <c r="G25" s="395"/>
      <c r="H25" s="491" t="str">
        <f>IF(Tabla278891121136[[#This Row],[Subtype]]="","",VLOOKUP(Tabla278891121136[[#This Row],[Subtype]],'Unit-X00 Equipment'!$E$13:$H$107,4,FALSE))</f>
        <v/>
      </c>
      <c r="I25" s="484"/>
      <c r="J25" s="484"/>
      <c r="K25" s="484"/>
      <c r="L25" s="484"/>
      <c r="M25" s="272"/>
      <c r="N25" s="395"/>
      <c r="O25" s="395"/>
      <c r="P25" s="395"/>
      <c r="Q25" s="395"/>
      <c r="R25" s="528"/>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149999999999999" customHeight="1" x14ac:dyDescent="0.25">
      <c r="A26" s="83"/>
      <c r="B26" s="104"/>
      <c r="C26" s="100"/>
      <c r="D26" s="235"/>
      <c r="E26" s="270"/>
      <c r="F26" s="395"/>
      <c r="G26" s="395"/>
      <c r="H26" s="491" t="str">
        <f>IF(Tabla278891121136[[#This Row],[Subtype]]="","",VLOOKUP(Tabla278891121136[[#This Row],[Subtype]],'Unit-X00 Equipment'!$E$13:$H$107,4,FALSE))</f>
        <v/>
      </c>
      <c r="I26" s="484"/>
      <c r="J26" s="484"/>
      <c r="K26" s="484"/>
      <c r="L26" s="484"/>
      <c r="M26" s="272"/>
      <c r="N26" s="395"/>
      <c r="O26" s="395"/>
      <c r="P26" s="395"/>
      <c r="Q26" s="395"/>
      <c r="R26" s="528"/>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149999999999999" customHeight="1" x14ac:dyDescent="0.25">
      <c r="A27" s="83"/>
      <c r="B27" s="104"/>
      <c r="C27" s="100"/>
      <c r="D27" s="235"/>
      <c r="E27" s="270"/>
      <c r="F27" s="395"/>
      <c r="G27" s="395"/>
      <c r="H27" s="491" t="str">
        <f>IF(Tabla278891121136[[#This Row],[Subtype]]="","",VLOOKUP(Tabla278891121136[[#This Row],[Subtype]],'Unit-X00 Equipment'!$E$13:$H$107,4,FALSE))</f>
        <v/>
      </c>
      <c r="I27" s="484"/>
      <c r="J27" s="484"/>
      <c r="K27" s="484"/>
      <c r="L27" s="484"/>
      <c r="M27" s="272"/>
      <c r="N27" s="395"/>
      <c r="O27" s="395"/>
      <c r="P27" s="395"/>
      <c r="Q27" s="395"/>
      <c r="R27" s="528"/>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149999999999999" customHeight="1" x14ac:dyDescent="0.25">
      <c r="A28" s="83"/>
      <c r="B28" s="104"/>
      <c r="C28" s="100"/>
      <c r="D28" s="235"/>
      <c r="E28" s="270"/>
      <c r="F28" s="395"/>
      <c r="G28" s="395"/>
      <c r="H28" s="491" t="str">
        <f>IF(Tabla278891121136[[#This Row],[Subtype]]="","",VLOOKUP(Tabla278891121136[[#This Row],[Subtype]],'Unit-X00 Equipment'!$E$13:$H$107,4,FALSE))</f>
        <v/>
      </c>
      <c r="I28" s="484"/>
      <c r="J28" s="484"/>
      <c r="K28" s="484"/>
      <c r="L28" s="484"/>
      <c r="M28" s="272"/>
      <c r="N28" s="395"/>
      <c r="O28" s="395"/>
      <c r="P28" s="395"/>
      <c r="Q28" s="395"/>
      <c r="R28" s="528"/>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149999999999999" customHeight="1" x14ac:dyDescent="0.25">
      <c r="A29" s="83"/>
      <c r="B29" s="104"/>
      <c r="C29" s="100"/>
      <c r="D29" s="235"/>
      <c r="E29" s="270"/>
      <c r="F29" s="395"/>
      <c r="G29" s="395"/>
      <c r="H29" s="491" t="str">
        <f>IF(Tabla278891121136[[#This Row],[Subtype]]="","",VLOOKUP(Tabla278891121136[[#This Row],[Subtype]],'Unit-X00 Equipment'!$E$13:$H$107,4,FALSE))</f>
        <v/>
      </c>
      <c r="I29" s="484"/>
      <c r="J29" s="484"/>
      <c r="K29" s="484"/>
      <c r="L29" s="484"/>
      <c r="M29" s="272"/>
      <c r="N29" s="395"/>
      <c r="O29" s="395"/>
      <c r="P29" s="395"/>
      <c r="Q29" s="395"/>
      <c r="R29" s="528"/>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149999999999999" customHeight="1" x14ac:dyDescent="0.25">
      <c r="A30" s="83"/>
      <c r="B30" s="104"/>
      <c r="C30" s="100"/>
      <c r="D30" s="235"/>
      <c r="E30" s="270"/>
      <c r="F30" s="395"/>
      <c r="G30" s="395"/>
      <c r="H30" s="491" t="str">
        <f>IF(Tabla278891121136[[#This Row],[Subtype]]="","",VLOOKUP(Tabla278891121136[[#This Row],[Subtype]],'Unit-X00 Equipment'!$E$13:$H$107,4,FALSE))</f>
        <v/>
      </c>
      <c r="I30" s="484"/>
      <c r="J30" s="484"/>
      <c r="K30" s="484"/>
      <c r="L30" s="484"/>
      <c r="M30" s="272"/>
      <c r="N30" s="395"/>
      <c r="O30" s="395"/>
      <c r="P30" s="395"/>
      <c r="Q30" s="395"/>
      <c r="R30" s="528"/>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149999999999999" customHeight="1" x14ac:dyDescent="0.25">
      <c r="A31" s="83"/>
      <c r="B31" s="104"/>
      <c r="C31" s="100"/>
      <c r="D31" s="235"/>
      <c r="E31" s="270"/>
      <c r="F31" s="395"/>
      <c r="G31" s="395"/>
      <c r="H31" s="491" t="str">
        <f>IF(Tabla278891121136[[#This Row],[Subtype]]="","",VLOOKUP(Tabla278891121136[[#This Row],[Subtype]],'Unit-X00 Equipment'!$E$13:$H$107,4,FALSE))</f>
        <v/>
      </c>
      <c r="I31" s="484"/>
      <c r="J31" s="484"/>
      <c r="K31" s="484"/>
      <c r="L31" s="484"/>
      <c r="M31" s="272"/>
      <c r="N31" s="395"/>
      <c r="O31" s="395"/>
      <c r="P31" s="395"/>
      <c r="Q31" s="395"/>
      <c r="R31" s="528"/>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149999999999999" customHeight="1" x14ac:dyDescent="0.25">
      <c r="A32" s="83"/>
      <c r="B32" s="104"/>
      <c r="C32" s="258"/>
      <c r="D32" s="235"/>
      <c r="E32" s="270"/>
      <c r="F32" s="395"/>
      <c r="G32" s="395"/>
      <c r="H32" s="491" t="str">
        <f>IF(Tabla278891121136[[#This Row],[Subtype]]="","",VLOOKUP(Tabla278891121136[[#This Row],[Subtype]],'Unit-X00 Equipment'!$E$13:$H$107,4,FALSE))</f>
        <v/>
      </c>
      <c r="I32" s="484"/>
      <c r="J32" s="484"/>
      <c r="K32" s="484"/>
      <c r="L32" s="484"/>
      <c r="M32" s="172"/>
      <c r="N32" s="484"/>
      <c r="O32" s="484"/>
      <c r="P32" s="168"/>
      <c r="Q32" s="169"/>
      <c r="R32" s="528"/>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149999999999999" customHeight="1" x14ac:dyDescent="0.25">
      <c r="A33" s="83"/>
      <c r="B33" s="104"/>
      <c r="C33" s="258"/>
      <c r="D33" s="235"/>
      <c r="E33" s="270"/>
      <c r="F33" s="395"/>
      <c r="G33" s="395"/>
      <c r="H33" s="491" t="str">
        <f>IF(Tabla278891121136[[#This Row],[Subtype]]="","",VLOOKUP(Tabla278891121136[[#This Row],[Subtype]],'Unit-X00 Equipment'!$E$13:$H$107,4,FALSE))</f>
        <v/>
      </c>
      <c r="I33" s="484"/>
      <c r="J33" s="484"/>
      <c r="K33" s="484"/>
      <c r="L33" s="484"/>
      <c r="M33" s="172"/>
      <c r="N33" s="484"/>
      <c r="O33" s="484"/>
      <c r="P33" s="395"/>
      <c r="Q33" s="169"/>
      <c r="R33" s="528"/>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149999999999999" customHeight="1" x14ac:dyDescent="0.25">
      <c r="A34" s="83"/>
      <c r="B34" s="104"/>
      <c r="C34" s="443"/>
      <c r="D34" s="235"/>
      <c r="E34" s="270"/>
      <c r="F34" s="395"/>
      <c r="G34" s="395"/>
      <c r="H34" s="491" t="str">
        <f>IF(Tabla278891121136[[#This Row],[Subtype]]="","",VLOOKUP(Tabla278891121136[[#This Row],[Subtype]],'Unit-X00 Equipment'!$E$13:$H$107,4,FALSE))</f>
        <v/>
      </c>
      <c r="I34" s="484"/>
      <c r="J34" s="484"/>
      <c r="K34" s="484"/>
      <c r="L34" s="484"/>
      <c r="M34" s="172"/>
      <c r="N34" s="484"/>
      <c r="O34" s="484"/>
      <c r="P34" s="484"/>
      <c r="Q34" s="169"/>
      <c r="R34" s="528"/>
      <c r="S34" s="219" t="str">
        <f>+IF(Tabla258790120135[[#This Row],[Equipment]]="","",Q34*R34/10^6)</f>
        <v/>
      </c>
      <c r="T34" s="106"/>
      <c r="U34" s="105"/>
      <c r="V34" s="116"/>
      <c r="W34" s="844" t="str">
        <f>+E6&amp;" Calculations"</f>
        <v>Unit 1 Calculations</v>
      </c>
      <c r="X34" s="845"/>
      <c r="Y34" s="845"/>
      <c r="Z34" s="845"/>
      <c r="AA34" s="845"/>
      <c r="AB34" s="845"/>
      <c r="AC34" s="845"/>
      <c r="AD34" s="845"/>
      <c r="AE34" s="845"/>
      <c r="AF34" s="845"/>
      <c r="AG34" s="845"/>
      <c r="AH34" s="845"/>
      <c r="AI34" s="845"/>
      <c r="AJ34" s="845"/>
      <c r="AK34" s="845"/>
      <c r="AL34" s="845"/>
      <c r="AM34" s="845"/>
      <c r="AN34" s="846"/>
      <c r="AO34" s="113"/>
      <c r="AP34" s="105"/>
      <c r="AQ34" s="243"/>
      <c r="AR34" s="457"/>
    </row>
    <row r="35" spans="1:44" ht="16.149999999999999" customHeight="1" x14ac:dyDescent="0.25">
      <c r="A35" s="83"/>
      <c r="B35" s="104"/>
      <c r="C35" s="443"/>
      <c r="D35" s="235"/>
      <c r="E35" s="270"/>
      <c r="F35" s="395"/>
      <c r="G35" s="395"/>
      <c r="H35" s="491" t="str">
        <f>IF(Tabla278891121136[[#This Row],[Subtype]]="","",VLOOKUP(Tabla278891121136[[#This Row],[Subtype]],'Unit-X00 Equipment'!$E$13:$H$107,4,FALSE))</f>
        <v/>
      </c>
      <c r="I35" s="484"/>
      <c r="J35" s="484"/>
      <c r="K35" s="484"/>
      <c r="L35" s="484"/>
      <c r="M35" s="172"/>
      <c r="N35" s="484"/>
      <c r="O35" s="484"/>
      <c r="P35" s="484"/>
      <c r="Q35" s="169"/>
      <c r="R35" s="528"/>
      <c r="S35" s="219" t="str">
        <f>+IF(Tabla258790120135[[#This Row],[Equipment]]="","",Q35*R35/10^6)</f>
        <v/>
      </c>
      <c r="T35" s="106"/>
      <c r="U35" s="105"/>
      <c r="V35" s="516"/>
      <c r="W35" s="534"/>
      <c r="X35" s="534"/>
      <c r="Y35" s="534"/>
      <c r="Z35" s="534"/>
      <c r="AA35" s="534"/>
      <c r="AB35" s="537"/>
      <c r="AC35" s="534"/>
      <c r="AD35" s="534"/>
      <c r="AE35" s="534"/>
      <c r="AF35" s="534"/>
      <c r="AG35" s="534"/>
      <c r="AH35" s="534"/>
      <c r="AI35" s="534"/>
      <c r="AJ35" s="534"/>
      <c r="AK35" s="534"/>
      <c r="AL35" s="534"/>
      <c r="AM35" s="534"/>
      <c r="AN35" s="534"/>
      <c r="AO35" s="113"/>
      <c r="AP35" s="105"/>
      <c r="AQ35" s="243"/>
      <c r="AR35" s="457"/>
    </row>
    <row r="36" spans="1:44" ht="16.149999999999999" customHeight="1" x14ac:dyDescent="0.25">
      <c r="A36" s="83"/>
      <c r="B36" s="104"/>
      <c r="C36" s="443"/>
      <c r="D36" s="235"/>
      <c r="E36" s="270"/>
      <c r="F36" s="395"/>
      <c r="G36" s="395"/>
      <c r="H36" s="491" t="str">
        <f>IF(Tabla278891121136[[#This Row],[Subtype]]="","",VLOOKUP(Tabla278891121136[[#This Row],[Subtype]],'Unit-X00 Equipment'!$E$13:$H$107,4,FALSE))</f>
        <v/>
      </c>
      <c r="I36" s="484"/>
      <c r="J36" s="484"/>
      <c r="K36" s="484"/>
      <c r="L36" s="484"/>
      <c r="M36" s="172"/>
      <c r="N36" s="484"/>
      <c r="O36" s="484"/>
      <c r="P36" s="484"/>
      <c r="Q36" s="169"/>
      <c r="R36" s="528"/>
      <c r="S36" s="219" t="str">
        <f>+IF(Tabla258790120135[[#This Row],[Equipment]]="","",Q36*R36/10^6)</f>
        <v/>
      </c>
      <c r="T36" s="106"/>
      <c r="U36" s="105"/>
      <c r="V36" s="516"/>
      <c r="W36" s="450"/>
      <c r="X36" s="450"/>
      <c r="Y36" s="450"/>
      <c r="Z36" s="450"/>
      <c r="AA36" s="535"/>
      <c r="AB36" s="450"/>
      <c r="AC36" s="450"/>
      <c r="AD36" s="450"/>
      <c r="AE36" s="450"/>
      <c r="AF36" s="450"/>
      <c r="AG36" s="450"/>
      <c r="AH36" s="450"/>
      <c r="AI36" s="450"/>
      <c r="AJ36" s="450"/>
      <c r="AK36" s="450"/>
      <c r="AL36" s="450"/>
      <c r="AM36" s="450"/>
      <c r="AN36" s="450"/>
      <c r="AO36" s="113"/>
      <c r="AP36" s="105"/>
      <c r="AQ36" s="243"/>
      <c r="AR36" s="457"/>
    </row>
    <row r="37" spans="1:44" ht="16.149999999999999" customHeight="1" x14ac:dyDescent="0.25">
      <c r="A37" s="83"/>
      <c r="B37" s="104"/>
      <c r="C37" s="443"/>
      <c r="D37" s="235"/>
      <c r="E37" s="270"/>
      <c r="F37" s="395"/>
      <c r="G37" s="395"/>
      <c r="H37" s="491" t="str">
        <f>IF(Tabla278891121136[[#This Row],[Subtype]]="","",VLOOKUP(Tabla278891121136[[#This Row],[Subtype]],'Unit-X00 Equipment'!$E$13:$H$107,4,FALSE))</f>
        <v/>
      </c>
      <c r="I37" s="484"/>
      <c r="J37" s="484"/>
      <c r="K37" s="484"/>
      <c r="L37" s="484"/>
      <c r="M37" s="172"/>
      <c r="N37" s="484"/>
      <c r="O37" s="484"/>
      <c r="P37" s="484"/>
      <c r="Q37" s="169"/>
      <c r="R37" s="528"/>
      <c r="S37" s="219" t="str">
        <f>+IF(Tabla258790120135[[#This Row],[Equipment]]="","",Q37*R37/10^6)</f>
        <v/>
      </c>
      <c r="T37" s="106"/>
      <c r="U37" s="105"/>
      <c r="V37" s="516"/>
      <c r="W37" s="534"/>
      <c r="X37" s="534"/>
      <c r="Y37" s="534"/>
      <c r="Z37" s="534"/>
      <c r="AA37" s="534"/>
      <c r="AB37" s="540"/>
      <c r="AC37" s="540"/>
      <c r="AD37" s="540"/>
      <c r="AE37" s="540"/>
      <c r="AF37" s="540"/>
      <c r="AG37" s="540"/>
      <c r="AH37" s="540"/>
      <c r="AI37" s="540"/>
      <c r="AJ37" s="540"/>
      <c r="AK37" s="540"/>
      <c r="AL37" s="540"/>
      <c r="AM37" s="540"/>
      <c r="AN37" s="540"/>
      <c r="AO37" s="113"/>
      <c r="AP37" s="105"/>
      <c r="AQ37" s="243"/>
      <c r="AR37" s="457"/>
    </row>
    <row r="38" spans="1:44" ht="16.149999999999999" customHeight="1" x14ac:dyDescent="0.25">
      <c r="A38" s="83"/>
      <c r="B38" s="104"/>
      <c r="C38" s="443"/>
      <c r="D38" s="235"/>
      <c r="E38" s="270"/>
      <c r="F38" s="395"/>
      <c r="G38" s="395"/>
      <c r="H38" s="491" t="str">
        <f>IF(Tabla278891121136[[#This Row],[Subtype]]="","",VLOOKUP(Tabla278891121136[[#This Row],[Subtype]],'Unit-X00 Equipment'!$E$13:$H$107,4,FALSE))</f>
        <v/>
      </c>
      <c r="I38" s="484"/>
      <c r="J38" s="484"/>
      <c r="K38" s="484"/>
      <c r="L38" s="484"/>
      <c r="M38" s="172"/>
      <c r="N38" s="484"/>
      <c r="O38" s="484"/>
      <c r="P38" s="484"/>
      <c r="Q38" s="169"/>
      <c r="R38" s="528"/>
      <c r="S38" s="219" t="str">
        <f>+IF(Tabla258790120135[[#This Row],[Equipment]]="","",Q38*R38/10^6)</f>
        <v/>
      </c>
      <c r="T38" s="106"/>
      <c r="U38" s="105"/>
      <c r="V38" s="516"/>
      <c r="W38" s="534"/>
      <c r="X38" s="534"/>
      <c r="Y38" s="534"/>
      <c r="Z38" s="534"/>
      <c r="AA38" s="534"/>
      <c r="AB38" s="532"/>
      <c r="AC38" s="532"/>
      <c r="AD38" s="532"/>
      <c r="AE38" s="532"/>
      <c r="AF38" s="541"/>
      <c r="AG38" s="541"/>
      <c r="AH38" s="541"/>
      <c r="AI38" s="541"/>
      <c r="AJ38" s="542"/>
      <c r="AK38" s="542"/>
      <c r="AL38" s="542"/>
      <c r="AM38" s="542"/>
      <c r="AN38" s="540"/>
      <c r="AO38" s="84"/>
      <c r="AP38" s="105"/>
      <c r="AQ38" s="243"/>
      <c r="AR38" s="457"/>
    </row>
    <row r="39" spans="1:44" ht="16.149999999999999" customHeight="1" x14ac:dyDescent="0.25">
      <c r="A39" s="83"/>
      <c r="B39" s="104"/>
      <c r="C39" s="93"/>
      <c r="D39" s="236"/>
      <c r="E39" s="271"/>
      <c r="F39" s="165"/>
      <c r="G39" s="165"/>
      <c r="H39" s="491" t="str">
        <f>IF(Tabla278891121136[[#This Row],[Subtype]]="","",VLOOKUP(Tabla278891121136[[#This Row],[Subtype]],'Unit-X00 Equipment'!$E$13:$H$107,4,FALSE))</f>
        <v/>
      </c>
      <c r="L39" s="92"/>
      <c r="M39" s="273"/>
      <c r="N39" s="92"/>
      <c r="O39" s="92"/>
      <c r="P39" s="92"/>
      <c r="Q39" s="274"/>
      <c r="R39" s="529"/>
      <c r="S39" s="219" t="str">
        <f>+IF(Tabla258790120135[[#This Row],[Equipment]]="","",Q39*R39/10^6)</f>
        <v/>
      </c>
      <c r="T39" s="106"/>
      <c r="U39" s="105"/>
      <c r="V39" s="516"/>
      <c r="W39" s="534"/>
      <c r="X39" s="249"/>
      <c r="Y39" s="249"/>
      <c r="Z39" s="534"/>
      <c r="AA39" s="534"/>
      <c r="AB39" s="534"/>
      <c r="AC39" s="534"/>
      <c r="AD39" s="534"/>
      <c r="AE39" s="534"/>
      <c r="AF39" s="389"/>
      <c r="AG39" s="389"/>
      <c r="AH39" s="389"/>
      <c r="AI39" s="389"/>
      <c r="AJ39" s="389"/>
      <c r="AK39" s="389"/>
      <c r="AL39" s="389"/>
      <c r="AM39" s="389"/>
      <c r="AN39" s="534"/>
      <c r="AO39" s="113"/>
      <c r="AP39" s="105"/>
      <c r="AQ39" s="243"/>
      <c r="AR39" s="457"/>
    </row>
    <row r="40" spans="1:44" ht="16.149999999999999" customHeight="1" x14ac:dyDescent="0.25">
      <c r="A40" s="83"/>
      <c r="B40" s="104"/>
      <c r="C40" s="93"/>
      <c r="D40" s="236"/>
      <c r="E40" s="271"/>
      <c r="F40" s="165"/>
      <c r="G40" s="165"/>
      <c r="H40" s="491" t="str">
        <f>IF(Tabla278891121136[[#This Row],[Subtype]]="","",VLOOKUP(Tabla278891121136[[#This Row],[Subtype]],'Unit-X00 Equipment'!$E$13:$H$107,4,FALSE))</f>
        <v/>
      </c>
      <c r="L40" s="92"/>
      <c r="M40" s="273"/>
      <c r="N40" s="92"/>
      <c r="O40" s="92"/>
      <c r="P40" s="92"/>
      <c r="Q40" s="274"/>
      <c r="R40" s="529"/>
      <c r="S40" s="219" t="str">
        <f>+IF(Tabla258790120135[[#This Row],[Equipment]]="","",Q40*R40/10^6)</f>
        <v/>
      </c>
      <c r="T40" s="106"/>
      <c r="U40" s="105"/>
      <c r="V40" s="516"/>
      <c r="W40" s="534"/>
      <c r="X40" s="249"/>
      <c r="Y40" s="249"/>
      <c r="Z40" s="534"/>
      <c r="AA40" s="534"/>
      <c r="AB40" s="534"/>
      <c r="AC40" s="451"/>
      <c r="AD40" s="534"/>
      <c r="AE40" s="534"/>
      <c r="AF40" s="534"/>
      <c r="AG40" s="388"/>
      <c r="AH40" s="534"/>
      <c r="AI40" s="388"/>
      <c r="AJ40" s="534"/>
      <c r="AK40" s="388"/>
      <c r="AL40" s="534"/>
      <c r="AM40" s="531"/>
      <c r="AN40" s="388"/>
      <c r="AO40" s="113"/>
      <c r="AP40" s="105"/>
      <c r="AQ40" s="243"/>
      <c r="AR40" s="457"/>
    </row>
    <row r="41" spans="1:44" ht="16.149999999999999" customHeight="1" x14ac:dyDescent="0.25">
      <c r="A41" s="83"/>
      <c r="B41" s="104"/>
      <c r="C41" s="258"/>
      <c r="D41" s="235"/>
      <c r="E41" s="270"/>
      <c r="F41" s="395"/>
      <c r="G41" s="395"/>
      <c r="H41" s="491" t="str">
        <f>IF(Tabla278891121136[[#This Row],[Subtype]]="","",VLOOKUP(Tabla278891121136[[#This Row],[Subtype]],'Unit-X00 Equipment'!$E$13:$H$107,4,FALSE))</f>
        <v/>
      </c>
      <c r="I41" s="484"/>
      <c r="J41" s="484"/>
      <c r="K41" s="484"/>
      <c r="L41" s="484"/>
      <c r="M41" s="172"/>
      <c r="N41" s="484"/>
      <c r="O41" s="484"/>
      <c r="P41" s="168"/>
      <c r="Q41" s="169"/>
      <c r="R41" s="528"/>
      <c r="S41" s="219" t="str">
        <f>+IF(Tabla258790120135[[#This Row],[Equipment]]="","",Q41*R41/10^6)</f>
        <v/>
      </c>
      <c r="T41" s="106"/>
      <c r="U41" s="105"/>
      <c r="V41" s="516"/>
      <c r="W41" s="534"/>
      <c r="X41" s="531"/>
      <c r="Y41" s="531"/>
      <c r="Z41" s="534"/>
      <c r="AA41" s="534"/>
      <c r="AB41" s="534"/>
      <c r="AC41" s="534"/>
      <c r="AD41" s="534"/>
      <c r="AE41" s="534"/>
      <c r="AF41" s="534"/>
      <c r="AG41" s="388"/>
      <c r="AH41" s="534"/>
      <c r="AI41" s="388"/>
      <c r="AJ41" s="534"/>
      <c r="AK41" s="534"/>
      <c r="AL41" s="534"/>
      <c r="AM41" s="534"/>
      <c r="AN41" s="388"/>
      <c r="AO41" s="113"/>
      <c r="AP41" s="105"/>
      <c r="AQ41" s="243"/>
      <c r="AR41" s="457"/>
    </row>
    <row r="42" spans="1:44" ht="16.149999999999999" customHeight="1" x14ac:dyDescent="0.25">
      <c r="A42" s="83"/>
      <c r="B42" s="104"/>
      <c r="C42" s="258"/>
      <c r="D42" s="235"/>
      <c r="E42" s="270"/>
      <c r="F42" s="395"/>
      <c r="G42" s="395"/>
      <c r="H42" s="491" t="str">
        <f>IF(Tabla278891121136[[#This Row],[Subtype]]="","",VLOOKUP(Tabla278891121136[[#This Row],[Subtype]],'Unit-X00 Equipment'!$E$13:$H$107,4,FALSE))</f>
        <v/>
      </c>
      <c r="I42" s="484"/>
      <c r="J42" s="484"/>
      <c r="K42" s="484"/>
      <c r="L42" s="484"/>
      <c r="M42" s="172"/>
      <c r="N42" s="484"/>
      <c r="O42" s="484"/>
      <c r="P42" s="395"/>
      <c r="Q42" s="169"/>
      <c r="R42" s="528"/>
      <c r="S42" s="219" t="str">
        <f>+IF(Tabla258790120135[[#This Row],[Equipment]]="","",Q42*R42/10^6)</f>
        <v/>
      </c>
      <c r="T42" s="106"/>
      <c r="U42" s="105"/>
      <c r="V42" s="516"/>
      <c r="W42" s="534"/>
      <c r="X42" s="531"/>
      <c r="Y42" s="531"/>
      <c r="Z42" s="534"/>
      <c r="AA42" s="534"/>
      <c r="AB42" s="534"/>
      <c r="AC42" s="534"/>
      <c r="AD42" s="534"/>
      <c r="AE42" s="534"/>
      <c r="AF42" s="534"/>
      <c r="AG42" s="388"/>
      <c r="AH42" s="534"/>
      <c r="AI42" s="534"/>
      <c r="AJ42" s="534"/>
      <c r="AK42" s="534"/>
      <c r="AL42" s="534"/>
      <c r="AM42" s="534"/>
      <c r="AN42" s="388"/>
      <c r="AO42" s="113"/>
      <c r="AP42" s="105"/>
      <c r="AQ42" s="243"/>
      <c r="AR42" s="457"/>
    </row>
    <row r="43" spans="1:44" ht="16.149999999999999" customHeight="1" x14ac:dyDescent="0.25">
      <c r="A43" s="83"/>
      <c r="B43" s="104"/>
      <c r="C43" s="443"/>
      <c r="D43" s="235"/>
      <c r="E43" s="270"/>
      <c r="F43" s="395"/>
      <c r="G43" s="395"/>
      <c r="H43" s="491" t="str">
        <f>IF(Tabla278891121136[[#This Row],[Subtype]]="","",VLOOKUP(Tabla278891121136[[#This Row],[Subtype]],'Unit-X00 Equipment'!$E$13:$H$107,4,FALSE))</f>
        <v/>
      </c>
      <c r="I43" s="484"/>
      <c r="J43" s="484"/>
      <c r="K43" s="484"/>
      <c r="L43" s="484"/>
      <c r="M43" s="335"/>
      <c r="N43" s="393"/>
      <c r="O43" s="393"/>
      <c r="P43" s="393"/>
      <c r="Q43" s="336"/>
      <c r="R43" s="530"/>
      <c r="S43" s="219" t="str">
        <f>+IF(Tabla258790120135[[#This Row],[Equipment]]="","",Q43*R43/10^6)</f>
        <v/>
      </c>
      <c r="T43" s="106"/>
      <c r="U43" s="105"/>
      <c r="V43" s="516"/>
      <c r="W43" s="534"/>
      <c r="X43" s="249"/>
      <c r="Y43" s="249"/>
      <c r="Z43" s="534"/>
      <c r="AA43" s="534"/>
      <c r="AB43" s="534"/>
      <c r="AC43" s="534"/>
      <c r="AD43" s="534"/>
      <c r="AE43" s="534"/>
      <c r="AF43" s="531"/>
      <c r="AG43" s="388"/>
      <c r="AH43" s="534"/>
      <c r="AI43" s="534"/>
      <c r="AJ43" s="534"/>
      <c r="AK43" s="534"/>
      <c r="AL43" s="534"/>
      <c r="AM43" s="534"/>
      <c r="AN43" s="388"/>
      <c r="AO43" s="113"/>
      <c r="AP43" s="105"/>
      <c r="AQ43" s="243"/>
      <c r="AR43" s="457"/>
    </row>
    <row r="44" spans="1:44" ht="16.149999999999999" customHeight="1" x14ac:dyDescent="0.25">
      <c r="A44" s="83"/>
      <c r="B44" s="104"/>
      <c r="C44" s="444"/>
      <c r="D44" s="851" t="s">
        <v>537</v>
      </c>
      <c r="E44" s="851"/>
      <c r="F44" s="851"/>
      <c r="G44" s="851"/>
      <c r="H44" s="851"/>
      <c r="I44" s="851"/>
      <c r="J44" s="851"/>
      <c r="K44" s="851"/>
      <c r="L44" s="851"/>
      <c r="M44" s="874"/>
      <c r="N44" s="874"/>
      <c r="O44" s="874"/>
      <c r="P44" s="874"/>
      <c r="Q44" s="874"/>
      <c r="R44" s="874"/>
      <c r="S44" s="446"/>
      <c r="T44" s="106"/>
      <c r="U44" s="105"/>
      <c r="V44" s="516"/>
      <c r="W44" s="534"/>
      <c r="X44" s="249"/>
      <c r="Y44" s="249"/>
      <c r="Z44" s="534"/>
      <c r="AA44" s="534"/>
      <c r="AB44" s="534"/>
      <c r="AC44" s="534"/>
      <c r="AD44" s="534"/>
      <c r="AE44" s="534"/>
      <c r="AF44" s="531"/>
      <c r="AG44" s="388"/>
      <c r="AH44" s="534"/>
      <c r="AI44" s="534"/>
      <c r="AJ44" s="534"/>
      <c r="AK44" s="534"/>
      <c r="AL44" s="534"/>
      <c r="AM44" s="534"/>
      <c r="AN44" s="388"/>
      <c r="AO44" s="113"/>
      <c r="AP44" s="105"/>
      <c r="AQ44" s="243"/>
      <c r="AR44" s="457"/>
    </row>
    <row r="45" spans="1:44" ht="16.149999999999999" customHeight="1" x14ac:dyDescent="0.25">
      <c r="A45" s="83"/>
      <c r="B45" s="104"/>
      <c r="C45" s="572" t="s">
        <v>582</v>
      </c>
      <c r="D45" s="564" t="s">
        <v>499</v>
      </c>
      <c r="E45" s="564" t="s">
        <v>498</v>
      </c>
      <c r="F45" s="573" t="s">
        <v>464</v>
      </c>
      <c r="G45" s="573" t="s">
        <v>315</v>
      </c>
      <c r="H45" s="573" t="s">
        <v>509</v>
      </c>
      <c r="I45" s="564" t="s">
        <v>506</v>
      </c>
      <c r="J45" s="564" t="s">
        <v>235</v>
      </c>
      <c r="K45" s="564" t="s">
        <v>466</v>
      </c>
      <c r="L45" s="564" t="s">
        <v>467</v>
      </c>
      <c r="M45" s="574" t="s">
        <v>586</v>
      </c>
      <c r="N45" s="575" t="s">
        <v>469</v>
      </c>
      <c r="O45" s="570" t="s">
        <v>468</v>
      </c>
      <c r="P45" s="564" t="s">
        <v>465</v>
      </c>
      <c r="Q45" s="564" t="s">
        <v>471</v>
      </c>
      <c r="R45" s="571" t="s">
        <v>470</v>
      </c>
      <c r="S45" s="571" t="s">
        <v>497</v>
      </c>
      <c r="T45" s="106"/>
      <c r="U45" s="105"/>
      <c r="V45" s="516"/>
      <c r="W45" s="534"/>
      <c r="X45" s="249"/>
      <c r="Y45" s="249"/>
      <c r="Z45" s="534"/>
      <c r="AA45" s="534"/>
      <c r="AB45" s="534"/>
      <c r="AC45" s="534"/>
      <c r="AD45" s="534"/>
      <c r="AE45" s="534"/>
      <c r="AF45" s="531"/>
      <c r="AG45" s="388"/>
      <c r="AH45" s="534"/>
      <c r="AI45" s="534"/>
      <c r="AJ45" s="534"/>
      <c r="AK45" s="534"/>
      <c r="AL45" s="534"/>
      <c r="AM45" s="534"/>
      <c r="AN45" s="388"/>
      <c r="AO45" s="113"/>
      <c r="AP45" s="105"/>
      <c r="AQ45" s="243"/>
      <c r="AR45" s="457"/>
    </row>
    <row r="46" spans="1:44" ht="16.149999999999999" customHeight="1" x14ac:dyDescent="0.25">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6"/>
      <c r="W46" s="534"/>
      <c r="X46" s="249"/>
      <c r="Y46" s="249"/>
      <c r="Z46" s="534"/>
      <c r="AA46" s="534"/>
      <c r="AB46" s="534"/>
      <c r="AC46" s="534"/>
      <c r="AD46" s="534"/>
      <c r="AE46" s="534"/>
      <c r="AF46" s="531"/>
      <c r="AG46" s="388"/>
      <c r="AH46" s="534"/>
      <c r="AI46" s="534"/>
      <c r="AJ46" s="534"/>
      <c r="AK46" s="534"/>
      <c r="AL46" s="534"/>
      <c r="AM46" s="534"/>
      <c r="AN46" s="388"/>
      <c r="AO46" s="113"/>
      <c r="AP46" s="105"/>
      <c r="AQ46" s="243"/>
      <c r="AR46" s="457"/>
    </row>
    <row r="47" spans="1:44" ht="16.149999999999999" customHeight="1" x14ac:dyDescent="0.25">
      <c r="A47" s="83"/>
      <c r="B47" s="104"/>
      <c r="C47" s="387"/>
      <c r="D47" s="440"/>
      <c r="E47" s="484"/>
      <c r="F47" s="257"/>
      <c r="G47" s="257"/>
      <c r="H47" s="257"/>
      <c r="I47" s="396"/>
      <c r="J47" s="396"/>
      <c r="K47" s="484"/>
      <c r="L47" s="484"/>
      <c r="M47" s="440"/>
      <c r="N47" s="484"/>
      <c r="O47" s="484"/>
      <c r="P47" s="484"/>
      <c r="Q47" s="484"/>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6"/>
      <c r="W47" s="534"/>
      <c r="X47" s="249"/>
      <c r="Y47" s="249"/>
      <c r="Z47" s="534"/>
      <c r="AA47" s="534"/>
      <c r="AB47" s="534"/>
      <c r="AC47" s="534"/>
      <c r="AD47" s="534"/>
      <c r="AE47" s="534"/>
      <c r="AF47" s="534"/>
      <c r="AG47" s="534"/>
      <c r="AH47" s="534"/>
      <c r="AI47" s="534"/>
      <c r="AJ47" s="534"/>
      <c r="AK47" s="533"/>
      <c r="AL47" s="533"/>
      <c r="AM47" s="533"/>
      <c r="AN47" s="534"/>
      <c r="AO47" s="113"/>
      <c r="AP47" s="105"/>
      <c r="AQ47" s="243"/>
      <c r="AR47" s="457"/>
    </row>
    <row r="48" spans="1:44" ht="16.149999999999999" customHeight="1" x14ac:dyDescent="0.25">
      <c r="A48" s="83"/>
      <c r="B48" s="104"/>
      <c r="C48" s="218"/>
      <c r="D48" s="440"/>
      <c r="E48" s="484"/>
      <c r="F48" s="257"/>
      <c r="G48" s="257"/>
      <c r="H48" s="257"/>
      <c r="I48" s="484"/>
      <c r="J48" s="484"/>
      <c r="K48" s="484"/>
      <c r="L48" s="484"/>
      <c r="M48" s="440"/>
      <c r="N48" s="484"/>
      <c r="O48" s="484"/>
      <c r="P48" s="484"/>
      <c r="Q48" s="484"/>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2"/>
      <c r="X48" s="532"/>
      <c r="Y48" s="532"/>
      <c r="Z48" s="532"/>
      <c r="AA48" s="532"/>
      <c r="AB48" s="532"/>
      <c r="AC48" s="532"/>
      <c r="AD48" s="532"/>
      <c r="AE48" s="532"/>
      <c r="AF48" s="543"/>
      <c r="AG48" s="265" t="s">
        <v>707</v>
      </c>
      <c r="AH48" s="265" t="s">
        <v>360</v>
      </c>
      <c r="AI48" s="871" t="s">
        <v>580</v>
      </c>
      <c r="AJ48" s="872"/>
      <c r="AK48" s="872"/>
      <c r="AL48" s="872"/>
      <c r="AM48" s="872"/>
      <c r="AN48" s="873"/>
      <c r="AO48" s="113"/>
      <c r="AP48" s="105"/>
      <c r="AQ48" s="243"/>
      <c r="AR48" s="457"/>
    </row>
    <row r="49" spans="1:57" ht="16.149999999999999" customHeight="1" x14ac:dyDescent="0.25">
      <c r="A49" s="83"/>
      <c r="B49" s="104"/>
      <c r="C49" s="218"/>
      <c r="D49" s="440"/>
      <c r="E49" s="484"/>
      <c r="F49" s="257"/>
      <c r="G49" s="257"/>
      <c r="H49" s="257"/>
      <c r="I49" s="484"/>
      <c r="J49" s="484"/>
      <c r="K49" s="484"/>
      <c r="L49" s="484"/>
      <c r="M49" s="440"/>
      <c r="N49" s="484"/>
      <c r="O49" s="484"/>
      <c r="P49" s="484"/>
      <c r="Q49" s="484"/>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2"/>
      <c r="X49" s="532"/>
      <c r="Y49" s="532"/>
      <c r="Z49" s="532"/>
      <c r="AA49" s="532"/>
      <c r="AB49" s="532"/>
      <c r="AC49" s="532"/>
      <c r="AD49" s="532"/>
      <c r="AE49" s="532"/>
      <c r="AF49" s="543"/>
      <c r="AG49" s="679"/>
      <c r="AH49" s="680"/>
      <c r="AI49" s="681"/>
      <c r="AJ49" s="681"/>
      <c r="AK49" s="681"/>
      <c r="AL49" s="681"/>
      <c r="AM49" s="681"/>
      <c r="AN49" s="682"/>
      <c r="AO49" s="113"/>
      <c r="AP49" s="105"/>
      <c r="AQ49" s="243"/>
      <c r="AR49" s="457"/>
    </row>
    <row r="50" spans="1:57" ht="16.149999999999999" customHeight="1" x14ac:dyDescent="0.25">
      <c r="A50" s="83"/>
      <c r="B50" s="104"/>
      <c r="C50" s="218"/>
      <c r="D50" s="440"/>
      <c r="E50" s="484"/>
      <c r="F50" s="257"/>
      <c r="G50" s="257"/>
      <c r="H50" s="257"/>
      <c r="I50" s="484"/>
      <c r="J50" s="484"/>
      <c r="K50" s="484"/>
      <c r="L50" s="484"/>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2"/>
      <c r="X50" s="532"/>
      <c r="Y50" s="532"/>
      <c r="Z50" s="532"/>
      <c r="AA50" s="532"/>
      <c r="AB50" s="532"/>
      <c r="AC50" s="532"/>
      <c r="AD50" s="532"/>
      <c r="AE50" s="532"/>
      <c r="AF50" s="543"/>
      <c r="AG50" s="674"/>
      <c r="AH50" s="683"/>
      <c r="AI50" s="526"/>
      <c r="AJ50" s="526"/>
      <c r="AK50" s="526"/>
      <c r="AL50" s="526"/>
      <c r="AM50" s="526"/>
      <c r="AN50" s="675"/>
      <c r="AO50" s="113"/>
      <c r="AP50" s="105"/>
      <c r="AQ50" s="243"/>
      <c r="AR50" s="457"/>
    </row>
    <row r="51" spans="1:57" ht="16.149999999999999" customHeight="1" x14ac:dyDescent="0.25">
      <c r="A51" s="83"/>
      <c r="B51" s="104"/>
      <c r="C51" s="226"/>
      <c r="D51" s="477"/>
      <c r="E51" s="393"/>
      <c r="F51" s="393"/>
      <c r="G51" s="393"/>
      <c r="H51" s="393"/>
      <c r="I51" s="393"/>
      <c r="J51" s="393"/>
      <c r="K51" s="393"/>
      <c r="L51" s="478"/>
      <c r="M51" s="578" t="s">
        <v>585</v>
      </c>
      <c r="N51" s="568" t="s">
        <v>464</v>
      </c>
      <c r="O51" s="579" t="s">
        <v>315</v>
      </c>
      <c r="P51" s="884" t="s">
        <v>477</v>
      </c>
      <c r="Q51" s="885"/>
      <c r="R51" s="571" t="s">
        <v>643</v>
      </c>
      <c r="S51" s="580" t="s">
        <v>642</v>
      </c>
      <c r="T51" s="106"/>
      <c r="U51" s="105"/>
      <c r="V51" s="120"/>
      <c r="W51" s="532"/>
      <c r="X51" s="532"/>
      <c r="Y51" s="532"/>
      <c r="Z51" s="532"/>
      <c r="AA51" s="532"/>
      <c r="AB51" s="532"/>
      <c r="AC51" s="532"/>
      <c r="AD51" s="532"/>
      <c r="AE51" s="532"/>
      <c r="AF51" s="543"/>
      <c r="AG51" s="674"/>
      <c r="AH51" s="683"/>
      <c r="AI51" s="526"/>
      <c r="AJ51" s="526"/>
      <c r="AK51" s="526"/>
      <c r="AL51" s="526"/>
      <c r="AM51" s="526"/>
      <c r="AN51" s="675"/>
      <c r="AO51" s="113"/>
      <c r="AP51" s="105"/>
      <c r="AQ51" s="243"/>
      <c r="AR51" s="457"/>
    </row>
    <row r="52" spans="1:57" ht="16.149999999999999" customHeight="1" x14ac:dyDescent="0.25">
      <c r="A52" s="83"/>
      <c r="B52" s="104"/>
      <c r="C52" s="485"/>
      <c r="D52" s="493"/>
      <c r="E52" s="493"/>
      <c r="F52" s="493"/>
      <c r="G52" s="493"/>
      <c r="H52" s="493"/>
      <c r="I52" s="493"/>
      <c r="J52" s="493"/>
      <c r="K52" s="493"/>
      <c r="L52" s="494"/>
      <c r="M52" s="581" t="s">
        <v>489</v>
      </c>
      <c r="N52" s="557" t="s">
        <v>487</v>
      </c>
      <c r="O52" s="582">
        <v>2001</v>
      </c>
      <c r="P52" s="886" t="s">
        <v>478</v>
      </c>
      <c r="Q52" s="887"/>
      <c r="R52" s="583" t="str">
        <f>+IF(SUM(S13:S43)&gt;0,IF(G3="Equipment",SUM(S13:S43),"NaN"),"")</f>
        <v/>
      </c>
      <c r="S52" s="584" t="str" cm="1">
        <f t="array" aca="1" ref="S52" ca="1">+IF(R52="","",R52*INDIRECT(ADDRESS(MATCH(O52,'Cost Conversion'!$B$3:$B$48,0)+2,4,1,1,"Cost conversion"))*INDIRECT(ADDRESS(MATCH(P52,'Cost Conversion'!$F$3:$F$22,0)+2,8,1,1,"Cost conversion"))/IF(N52="$",'Cost Conversion'!$L$2,1))</f>
        <v/>
      </c>
      <c r="T52" s="106"/>
      <c r="U52" s="105"/>
      <c r="V52" s="120"/>
      <c r="W52" s="532"/>
      <c r="X52" s="532"/>
      <c r="Y52" s="532"/>
      <c r="Z52" s="532"/>
      <c r="AA52" s="532"/>
      <c r="AB52" s="532"/>
      <c r="AC52" s="532"/>
      <c r="AD52" s="532"/>
      <c r="AE52" s="532"/>
      <c r="AF52" s="543"/>
      <c r="AG52" s="674"/>
      <c r="AH52" s="683"/>
      <c r="AI52" s="526"/>
      <c r="AJ52" s="526"/>
      <c r="AK52" s="526"/>
      <c r="AL52" s="526"/>
      <c r="AM52" s="526"/>
      <c r="AN52" s="675"/>
      <c r="AO52" s="113"/>
      <c r="AP52" s="105"/>
      <c r="AQ52" s="243"/>
      <c r="AR52" s="457"/>
    </row>
    <row r="53" spans="1:57" ht="16.149999999999999" customHeight="1" x14ac:dyDescent="0.25">
      <c r="A53" s="83"/>
      <c r="B53" s="104"/>
      <c r="C53" s="486"/>
      <c r="D53" s="495"/>
      <c r="E53" s="495"/>
      <c r="F53" s="495"/>
      <c r="G53" s="495"/>
      <c r="H53" s="495"/>
      <c r="I53" s="495"/>
      <c r="J53" s="495"/>
      <c r="K53" s="495"/>
      <c r="L53" s="487"/>
      <c r="M53" s="557" t="s">
        <v>644</v>
      </c>
      <c r="N53" s="140"/>
      <c r="O53" s="146"/>
      <c r="P53" s="886"/>
      <c r="Q53" s="887"/>
      <c r="R53" s="583" t="s">
        <v>354</v>
      </c>
      <c r="S53" s="584" t="str">
        <f ca="1">+IF(SUM(S46:S50)&gt;0,SUM(S46:S50),"")</f>
        <v/>
      </c>
      <c r="T53" s="106"/>
      <c r="U53" s="105"/>
      <c r="V53" s="120"/>
      <c r="W53" s="532"/>
      <c r="X53" s="532"/>
      <c r="Y53" s="532"/>
      <c r="Z53" s="532"/>
      <c r="AA53" s="532"/>
      <c r="AB53" s="532"/>
      <c r="AC53" s="532"/>
      <c r="AD53" s="532"/>
      <c r="AE53" s="532"/>
      <c r="AF53" s="543"/>
      <c r="AG53" s="676"/>
      <c r="AH53" s="684"/>
      <c r="AI53" s="677"/>
      <c r="AJ53" s="677"/>
      <c r="AK53" s="677"/>
      <c r="AL53" s="677"/>
      <c r="AM53" s="677"/>
      <c r="AN53" s="678"/>
      <c r="AO53" s="113"/>
      <c r="AP53" s="105"/>
      <c r="AQ53" s="243"/>
      <c r="AR53" s="457"/>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149999999999999" customHeight="1" x14ac:dyDescent="0.25">
      <c r="A56" s="83"/>
      <c r="B56" s="850" t="s">
        <v>597</v>
      </c>
      <c r="C56" s="851"/>
      <c r="D56" s="851"/>
      <c r="E56" s="851"/>
      <c r="F56" s="851"/>
      <c r="G56" s="852"/>
      <c r="H56" s="850" t="s">
        <v>637</v>
      </c>
      <c r="I56" s="851"/>
      <c r="J56" s="851"/>
      <c r="K56" s="851"/>
      <c r="L56" s="851"/>
      <c r="M56" s="851"/>
      <c r="N56" s="852"/>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149999999999999" customHeight="1" x14ac:dyDescent="0.25">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149999999999999" customHeight="1" x14ac:dyDescent="0.25">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149999999999999" customHeight="1" x14ac:dyDescent="0.25">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149999999999999" customHeight="1" x14ac:dyDescent="0.25">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149999999999999" customHeight="1" x14ac:dyDescent="0.25">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149999999999999" customHeight="1" x14ac:dyDescent="0.25">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149999999999999" customHeight="1" x14ac:dyDescent="0.25">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149999999999999" customHeight="1" x14ac:dyDescent="0.25">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149999999999999" customHeight="1" x14ac:dyDescent="0.25">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149999999999999" customHeight="1" x14ac:dyDescent="0.25">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149999999999999" customHeight="1" x14ac:dyDescent="0.25">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149999999999999" customHeight="1" x14ac:dyDescent="0.25">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149999999999999" customHeight="1" x14ac:dyDescent="0.25">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149999999999999" customHeight="1" x14ac:dyDescent="0.25">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149999999999999" customHeight="1" x14ac:dyDescent="0.25">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149999999999999" customHeight="1" x14ac:dyDescent="0.25">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149999999999999" customHeight="1" x14ac:dyDescent="0.25">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149999999999999" customHeight="1" x14ac:dyDescent="0.25">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149999999999999" customHeight="1" x14ac:dyDescent="0.25">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149999999999999" customHeight="1" x14ac:dyDescent="0.25">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149999999999999" customHeight="1" x14ac:dyDescent="0.25">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149999999999999" customHeight="1" x14ac:dyDescent="0.25">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149999999999999" customHeight="1" x14ac:dyDescent="0.25">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149999999999999" customHeight="1" x14ac:dyDescent="0.25">
      <c r="A80" s="83"/>
      <c r="B80" s="104"/>
      <c r="C80" s="105"/>
      <c r="D80" s="105"/>
      <c r="E80" s="105"/>
      <c r="F80" s="105"/>
      <c r="G80" s="106"/>
      <c r="H80" s="128" t="s">
        <v>707</v>
      </c>
      <c r="I80" s="129" t="s">
        <v>360</v>
      </c>
      <c r="J80" s="890" t="s">
        <v>580</v>
      </c>
      <c r="K80" s="891"/>
      <c r="L80" s="891"/>
      <c r="M80" s="891"/>
      <c r="N80" s="892"/>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149999999999999" customHeight="1" x14ac:dyDescent="0.25">
      <c r="A81" s="83"/>
      <c r="B81" s="107"/>
      <c r="C81" s="108"/>
      <c r="D81" s="108"/>
      <c r="E81" s="108"/>
      <c r="F81" s="108"/>
      <c r="G81" s="109"/>
      <c r="H81" s="685"/>
      <c r="I81" s="686"/>
      <c r="J81" s="881"/>
      <c r="K81" s="882"/>
      <c r="L81" s="882"/>
      <c r="M81" s="882"/>
      <c r="N81" s="883"/>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149999999999999" customHeight="1" x14ac:dyDescent="0.25">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25">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25">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25">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25">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25">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25">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25">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25">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25">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25">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25">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25">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25">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25">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25">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25">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25">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25">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J81:N81"/>
    <mergeCell ref="P51:Q51"/>
    <mergeCell ref="P52:Q52"/>
    <mergeCell ref="P53:Q53"/>
    <mergeCell ref="C6:C7"/>
    <mergeCell ref="C8:C9"/>
    <mergeCell ref="B56:G56"/>
    <mergeCell ref="H56:N56"/>
    <mergeCell ref="J80:N80"/>
    <mergeCell ref="D8:D9"/>
    <mergeCell ref="E8:E9"/>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70" zoomScaleNormal="70" workbookViewId="0">
      <selection activeCell="I9" sqref="I9"/>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8"/>
    <col min="44" max="44" width="11.140625" style="45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149999999999999" customHeight="1" x14ac:dyDescent="0.25">
      <c r="A3" s="83"/>
      <c r="B3" s="104"/>
      <c r="C3" s="850" t="s">
        <v>270</v>
      </c>
      <c r="D3" s="851"/>
      <c r="E3" s="851"/>
      <c r="F3" s="851"/>
      <c r="G3" s="850" t="s">
        <v>229</v>
      </c>
      <c r="H3" s="852"/>
      <c r="J3" s="850" t="s">
        <v>679</v>
      </c>
      <c r="K3" s="851"/>
      <c r="L3" s="851"/>
      <c r="M3" s="852"/>
      <c r="N3" s="212"/>
      <c r="O3" s="850" t="str">
        <f>+E6</f>
        <v>Unit 2</v>
      </c>
      <c r="P3" s="851"/>
      <c r="Q3" s="851"/>
      <c r="R3" s="851"/>
      <c r="S3" s="852"/>
      <c r="T3" s="105"/>
      <c r="U3" s="124"/>
      <c r="V3" s="112"/>
      <c r="W3" s="841" t="str">
        <f>+E6&amp;" Diagram"</f>
        <v>Unit 2 Diagram</v>
      </c>
      <c r="X3" s="842"/>
      <c r="Y3" s="842"/>
      <c r="Z3" s="842"/>
      <c r="AA3" s="842"/>
      <c r="AB3" s="842"/>
      <c r="AC3" s="842"/>
      <c r="AD3" s="842"/>
      <c r="AE3" s="842"/>
      <c r="AF3" s="842"/>
      <c r="AG3" s="842"/>
      <c r="AH3" s="842"/>
      <c r="AI3" s="842"/>
      <c r="AJ3" s="842"/>
      <c r="AK3" s="842"/>
      <c r="AL3" s="842"/>
      <c r="AM3" s="842"/>
      <c r="AN3" s="843"/>
      <c r="AO3" s="113"/>
      <c r="AP3" s="83"/>
      <c r="AQ3" s="243"/>
      <c r="AR3" s="457"/>
    </row>
    <row r="4" spans="1:44" ht="16.149999999999999" customHeight="1" x14ac:dyDescent="0.25">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149999999999999" customHeight="1" x14ac:dyDescent="0.25">
      <c r="A5" s="83"/>
      <c r="B5" s="104"/>
      <c r="C5" s="105"/>
      <c r="D5" s="853" t="s">
        <v>265</v>
      </c>
      <c r="E5" s="854"/>
      <c r="F5" s="105"/>
      <c r="G5" s="853" t="s">
        <v>267</v>
      </c>
      <c r="H5" s="854"/>
      <c r="J5" s="875"/>
      <c r="K5" s="876"/>
      <c r="L5" s="216" t="s">
        <v>470</v>
      </c>
      <c r="M5" s="525" t="s">
        <v>504</v>
      </c>
      <c r="N5" s="526"/>
      <c r="O5" s="814" t="s">
        <v>580</v>
      </c>
      <c r="P5" s="815"/>
      <c r="Q5" s="815"/>
      <c r="R5" s="815"/>
      <c r="S5" s="816"/>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149999999999999" customHeight="1" x14ac:dyDescent="0.25">
      <c r="A6" s="83"/>
      <c r="B6" s="104"/>
      <c r="C6" s="888" t="s">
        <v>496</v>
      </c>
      <c r="D6" s="280" t="s">
        <v>694</v>
      </c>
      <c r="E6" s="577" t="str">
        <f>+'Plant Overview'!V39</f>
        <v>Unit 2</v>
      </c>
      <c r="F6" s="105"/>
      <c r="G6" s="85"/>
      <c r="H6" s="398" t="s">
        <v>262</v>
      </c>
      <c r="J6" s="877"/>
      <c r="K6" s="878"/>
      <c r="L6" s="190" t="s">
        <v>471</v>
      </c>
      <c r="M6" s="86" t="s">
        <v>505</v>
      </c>
      <c r="N6" s="526"/>
      <c r="O6" s="858"/>
      <c r="P6" s="859"/>
      <c r="Q6" s="859"/>
      <c r="R6" s="859"/>
      <c r="S6" s="860"/>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149999999999999" customHeight="1" x14ac:dyDescent="0.25">
      <c r="A7" s="83"/>
      <c r="B7" s="104"/>
      <c r="C7" s="889"/>
      <c r="D7" s="280" t="s">
        <v>693</v>
      </c>
      <c r="E7" s="577" t="str">
        <f>+'Plant Overview'!W39</f>
        <v>U-200</v>
      </c>
      <c r="F7" s="105"/>
      <c r="G7" s="96"/>
      <c r="H7" s="398" t="s">
        <v>263</v>
      </c>
      <c r="J7" s="877"/>
      <c r="K7" s="878"/>
      <c r="L7" s="216" t="s">
        <v>465</v>
      </c>
      <c r="M7" s="525" t="s">
        <v>503</v>
      </c>
      <c r="N7" s="526"/>
      <c r="O7" s="861"/>
      <c r="P7" s="862"/>
      <c r="Q7" s="862"/>
      <c r="R7" s="862"/>
      <c r="S7" s="86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149999999999999" customHeight="1" x14ac:dyDescent="0.25">
      <c r="A8" s="83"/>
      <c r="B8" s="104"/>
      <c r="C8" s="826"/>
      <c r="D8" s="893" t="s">
        <v>312</v>
      </c>
      <c r="E8" s="895"/>
      <c r="F8" s="105"/>
      <c r="G8" s="95"/>
      <c r="H8" s="478" t="s">
        <v>264</v>
      </c>
      <c r="J8" s="877"/>
      <c r="K8" s="878"/>
      <c r="L8" s="216" t="s">
        <v>466</v>
      </c>
      <c r="M8" s="525" t="s">
        <v>501</v>
      </c>
      <c r="N8" s="526"/>
      <c r="O8" s="861"/>
      <c r="P8" s="862"/>
      <c r="Q8" s="862"/>
      <c r="R8" s="862"/>
      <c r="S8" s="86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149999999999999" customHeight="1" x14ac:dyDescent="0.25">
      <c r="A9" s="83"/>
      <c r="B9" s="104"/>
      <c r="C9" s="827"/>
      <c r="D9" s="894"/>
      <c r="E9" s="896"/>
      <c r="F9" s="105"/>
      <c r="G9" s="110"/>
      <c r="H9" s="624" t="s">
        <v>268</v>
      </c>
      <c r="J9" s="879"/>
      <c r="K9" s="880"/>
      <c r="L9" s="216" t="s">
        <v>467</v>
      </c>
      <c r="M9" s="525" t="s">
        <v>502</v>
      </c>
      <c r="N9" s="526"/>
      <c r="O9" s="864"/>
      <c r="P9" s="865"/>
      <c r="Q9" s="865"/>
      <c r="R9" s="865"/>
      <c r="S9" s="86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149999999999999" customHeight="1" x14ac:dyDescent="0.25">
      <c r="A11" s="83"/>
      <c r="B11" s="104"/>
      <c r="C11" s="105"/>
      <c r="D11" s="850" t="s">
        <v>572</v>
      </c>
      <c r="E11" s="851"/>
      <c r="F11" s="851"/>
      <c r="G11" s="851"/>
      <c r="H11" s="851"/>
      <c r="I11" s="851"/>
      <c r="J11" s="851"/>
      <c r="K11" s="851"/>
      <c r="L11" s="852"/>
      <c r="M11" s="850" t="s">
        <v>581</v>
      </c>
      <c r="N11" s="851"/>
      <c r="O11" s="851"/>
      <c r="P11" s="851"/>
      <c r="Q11" s="851"/>
      <c r="R11" s="852"/>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149999999999999" customHeight="1" x14ac:dyDescent="0.25">
      <c r="A12" s="83"/>
      <c r="B12" s="104"/>
      <c r="C12" s="565" t="s">
        <v>239</v>
      </c>
      <c r="D12" s="566" t="s">
        <v>229</v>
      </c>
      <c r="E12" s="566" t="s">
        <v>348</v>
      </c>
      <c r="F12" s="567" t="s">
        <v>234</v>
      </c>
      <c r="G12" s="567" t="s">
        <v>476</v>
      </c>
      <c r="H12" s="568" t="s">
        <v>235</v>
      </c>
      <c r="I12" s="566" t="s">
        <v>236</v>
      </c>
      <c r="J12" s="632" t="s">
        <v>341</v>
      </c>
      <c r="K12" s="567" t="s">
        <v>340</v>
      </c>
      <c r="L12" s="567" t="s">
        <v>535</v>
      </c>
      <c r="M12" s="570" t="s">
        <v>230</v>
      </c>
      <c r="N12" s="570" t="s">
        <v>231</v>
      </c>
      <c r="O12" s="570" t="s">
        <v>232</v>
      </c>
      <c r="P12" s="570" t="s">
        <v>225</v>
      </c>
      <c r="Q12" s="570" t="s">
        <v>233</v>
      </c>
      <c r="R12" s="570" t="s">
        <v>266</v>
      </c>
      <c r="S12" s="646" t="s">
        <v>667</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149999999999999" customHeight="1" x14ac:dyDescent="0.25">
      <c r="A13" s="83"/>
      <c r="B13" s="104"/>
      <c r="C13" s="447"/>
      <c r="D13" s="235"/>
      <c r="E13" s="270"/>
      <c r="F13" s="395"/>
      <c r="G13" s="395"/>
      <c r="H13" s="538" t="str">
        <f>IF(Tabla27889112113631[[#This Row],[Subtype]]="","",VLOOKUP(Tabla27889112113631[[#This Row],[Subtype]],'Unit-X00 Equipment'!$E$13:$H$107,4,FALSE))</f>
        <v/>
      </c>
      <c r="I13" s="623"/>
      <c r="J13" s="623"/>
      <c r="K13" s="623"/>
      <c r="L13" s="623"/>
      <c r="M13" s="362"/>
      <c r="N13" s="221"/>
      <c r="O13" s="221"/>
      <c r="P13" s="221"/>
      <c r="Q13" s="221"/>
      <c r="R13" s="527"/>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149999999999999" customHeight="1" x14ac:dyDescent="0.25">
      <c r="A14" s="83"/>
      <c r="B14" s="104"/>
      <c r="C14" s="100"/>
      <c r="D14" s="235"/>
      <c r="E14" s="270"/>
      <c r="F14" s="395"/>
      <c r="G14" s="395"/>
      <c r="H14" s="538" t="str">
        <f>IF(Tabla27889112113631[[#This Row],[Subtype]]="","",VLOOKUP(Tabla27889112113631[[#This Row],[Subtype]],'Unit-X00 Equipment'!$E$13:$H$107,4,FALSE))</f>
        <v/>
      </c>
      <c r="I14" s="623"/>
      <c r="J14" s="623"/>
      <c r="K14" s="623"/>
      <c r="L14" s="623"/>
      <c r="M14" s="272"/>
      <c r="N14" s="395"/>
      <c r="O14" s="395"/>
      <c r="P14" s="395"/>
      <c r="Q14" s="395"/>
      <c r="R14" s="528"/>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149999999999999" customHeight="1" x14ac:dyDescent="0.25">
      <c r="A15" s="83"/>
      <c r="B15" s="104"/>
      <c r="C15" s="258"/>
      <c r="D15" s="270"/>
      <c r="E15" s="270"/>
      <c r="F15" s="623"/>
      <c r="G15" s="623"/>
      <c r="H15" s="538" t="str">
        <f>IF(Tabla27889112113631[[#This Row],[Subtype]]="","",VLOOKUP(Tabla27889112113631[[#This Row],[Subtype]],'Unit-X00 Equipment'!$E$13:$H$107,4,FALSE))</f>
        <v/>
      </c>
      <c r="I15" s="623"/>
      <c r="J15" s="623"/>
      <c r="K15" s="623"/>
      <c r="L15" s="623"/>
      <c r="M15" s="172"/>
      <c r="N15" s="623"/>
      <c r="O15" s="395"/>
      <c r="P15" s="168"/>
      <c r="Q15" s="169"/>
      <c r="R15" s="528"/>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149999999999999" customHeight="1" x14ac:dyDescent="0.25">
      <c r="A16" s="83"/>
      <c r="B16" s="104"/>
      <c r="C16" s="258"/>
      <c r="D16" s="235"/>
      <c r="E16" s="270"/>
      <c r="F16" s="395"/>
      <c r="G16" s="395"/>
      <c r="H16" s="538" t="str">
        <f>IF(Tabla27889112113631[[#This Row],[Subtype]]="","",VLOOKUP(Tabla27889112113631[[#This Row],[Subtype]],'Unit-X00 Equipment'!$E$13:$H$107,4,FALSE))</f>
        <v/>
      </c>
      <c r="I16" s="623"/>
      <c r="J16" s="623"/>
      <c r="K16" s="623"/>
      <c r="L16" s="623"/>
      <c r="M16" s="272"/>
      <c r="N16" s="395"/>
      <c r="O16" s="395"/>
      <c r="P16" s="395"/>
      <c r="Q16" s="395"/>
      <c r="R16" s="528"/>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149999999999999" customHeight="1" x14ac:dyDescent="0.25">
      <c r="A17" s="83"/>
      <c r="B17" s="104"/>
      <c r="C17" s="100"/>
      <c r="D17" s="235"/>
      <c r="E17" s="269"/>
      <c r="F17" s="395"/>
      <c r="G17" s="395"/>
      <c r="H17" s="538" t="str">
        <f>IF(Tabla27889112113631[[#This Row],[Subtype]]="","",VLOOKUP(Tabla27889112113631[[#This Row],[Subtype]],'Unit-X00 Equipment'!$E$13:$H$107,4,FALSE))</f>
        <v/>
      </c>
      <c r="I17" s="623"/>
      <c r="J17" s="623"/>
      <c r="K17" s="623"/>
      <c r="L17" s="623"/>
      <c r="M17" s="272"/>
      <c r="N17" s="395"/>
      <c r="O17" s="395"/>
      <c r="P17" s="395"/>
      <c r="Q17" s="395"/>
      <c r="R17" s="528"/>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149999999999999" customHeight="1" x14ac:dyDescent="0.25">
      <c r="A18" s="83"/>
      <c r="B18" s="104"/>
      <c r="C18" s="100"/>
      <c r="D18" s="235"/>
      <c r="E18" s="270"/>
      <c r="F18" s="395"/>
      <c r="G18" s="395"/>
      <c r="H18" s="538" t="str">
        <f>IF(Tabla27889112113631[[#This Row],[Subtype]]="","",VLOOKUP(Tabla27889112113631[[#This Row],[Subtype]],'Unit-X00 Equipment'!$E$13:$H$107,4,FALSE))</f>
        <v/>
      </c>
      <c r="I18" s="623"/>
      <c r="J18" s="623"/>
      <c r="K18" s="623"/>
      <c r="L18" s="395"/>
      <c r="M18" s="272"/>
      <c r="N18" s="395"/>
      <c r="O18" s="395"/>
      <c r="P18" s="395"/>
      <c r="Q18" s="395"/>
      <c r="R18" s="528"/>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149999999999999" customHeight="1" x14ac:dyDescent="0.25">
      <c r="A19" s="83"/>
      <c r="B19" s="104"/>
      <c r="C19" s="100"/>
      <c r="D19" s="235"/>
      <c r="E19" s="270"/>
      <c r="F19" s="395"/>
      <c r="G19" s="395"/>
      <c r="H19" s="538" t="str">
        <f>IF(Tabla27889112113631[[#This Row],[Subtype]]="","",VLOOKUP(Tabla27889112113631[[#This Row],[Subtype]],'Unit-X00 Equipment'!$E$13:$H$107,4,FALSE))</f>
        <v/>
      </c>
      <c r="I19" s="623"/>
      <c r="J19" s="623"/>
      <c r="K19" s="623"/>
      <c r="L19" s="395"/>
      <c r="M19" s="272"/>
      <c r="N19" s="395"/>
      <c r="O19" s="395"/>
      <c r="P19" s="395"/>
      <c r="Q19" s="395"/>
      <c r="R19" s="528"/>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149999999999999" customHeight="1" x14ac:dyDescent="0.25">
      <c r="A20" s="83"/>
      <c r="B20" s="104"/>
      <c r="C20" s="100"/>
      <c r="D20" s="235"/>
      <c r="E20" s="270"/>
      <c r="F20" s="395"/>
      <c r="G20" s="395"/>
      <c r="H20" s="538" t="str">
        <f>IF(Tabla27889112113631[[#This Row],[Subtype]]="","",VLOOKUP(Tabla27889112113631[[#This Row],[Subtype]],'Unit-X00 Equipment'!$E$13:$H$107,4,FALSE))</f>
        <v/>
      </c>
      <c r="I20" s="623"/>
      <c r="J20" s="623"/>
      <c r="K20" s="623"/>
      <c r="L20" s="623"/>
      <c r="M20" s="272"/>
      <c r="N20" s="395"/>
      <c r="O20" s="395"/>
      <c r="P20" s="395"/>
      <c r="Q20" s="395"/>
      <c r="R20" s="528"/>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149999999999999" customHeight="1" x14ac:dyDescent="0.25">
      <c r="A21" s="83"/>
      <c r="B21" s="104"/>
      <c r="C21" s="100"/>
      <c r="D21" s="235"/>
      <c r="E21" s="270"/>
      <c r="F21" s="395"/>
      <c r="G21" s="395"/>
      <c r="H21" s="538" t="str">
        <f>IF(Tabla27889112113631[[#This Row],[Subtype]]="","",VLOOKUP(Tabla27889112113631[[#This Row],[Subtype]],'Unit-X00 Equipment'!$E$13:$H$107,4,FALSE))</f>
        <v/>
      </c>
      <c r="I21" s="623"/>
      <c r="J21" s="623"/>
      <c r="K21" s="623"/>
      <c r="L21" s="623"/>
      <c r="M21" s="272"/>
      <c r="N21" s="395"/>
      <c r="O21" s="395"/>
      <c r="P21" s="395"/>
      <c r="Q21" s="395"/>
      <c r="R21" s="528"/>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149999999999999" customHeight="1" x14ac:dyDescent="0.25">
      <c r="A22" s="83"/>
      <c r="B22" s="104"/>
      <c r="C22" s="100"/>
      <c r="D22" s="235"/>
      <c r="E22" s="270"/>
      <c r="F22" s="395"/>
      <c r="G22" s="395"/>
      <c r="H22" s="538" t="str">
        <f>IF(Tabla27889112113631[[#This Row],[Subtype]]="","",VLOOKUP(Tabla27889112113631[[#This Row],[Subtype]],'Unit-X00 Equipment'!$E$13:$H$107,4,FALSE))</f>
        <v/>
      </c>
      <c r="I22" s="623"/>
      <c r="J22" s="623"/>
      <c r="K22" s="623"/>
      <c r="L22" s="623"/>
      <c r="M22" s="272"/>
      <c r="N22" s="395"/>
      <c r="O22" s="395"/>
      <c r="P22" s="395"/>
      <c r="Q22" s="395"/>
      <c r="R22" s="528"/>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149999999999999" customHeight="1" x14ac:dyDescent="0.25">
      <c r="A23" s="83"/>
      <c r="B23" s="104"/>
      <c r="C23" s="100"/>
      <c r="D23" s="270"/>
      <c r="E23" s="270"/>
      <c r="F23" s="395"/>
      <c r="G23" s="623"/>
      <c r="H23" s="538" t="str">
        <f>IF(Tabla27889112113631[[#This Row],[Subtype]]="","",VLOOKUP(Tabla27889112113631[[#This Row],[Subtype]],'Unit-X00 Equipment'!$E$13:$H$107,4,FALSE))</f>
        <v/>
      </c>
      <c r="I23" s="623"/>
      <c r="J23" s="623"/>
      <c r="K23" s="623"/>
      <c r="L23" s="623"/>
      <c r="M23" s="272"/>
      <c r="N23" s="395"/>
      <c r="O23" s="395"/>
      <c r="P23" s="395"/>
      <c r="Q23" s="395"/>
      <c r="R23" s="528"/>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149999999999999" customHeight="1" x14ac:dyDescent="0.25">
      <c r="A24" s="83"/>
      <c r="B24" s="104"/>
      <c r="C24" s="100"/>
      <c r="D24" s="235"/>
      <c r="E24" s="270"/>
      <c r="F24" s="395"/>
      <c r="G24" s="395"/>
      <c r="H24" s="538" t="str">
        <f>IF(Tabla27889112113631[[#This Row],[Subtype]]="","",VLOOKUP(Tabla27889112113631[[#This Row],[Subtype]],'Unit-X00 Equipment'!$E$13:$H$107,4,FALSE))</f>
        <v/>
      </c>
      <c r="I24" s="623"/>
      <c r="J24" s="623"/>
      <c r="K24" s="623"/>
      <c r="L24" s="623"/>
      <c r="M24" s="272"/>
      <c r="N24" s="395"/>
      <c r="O24" s="395"/>
      <c r="P24" s="395"/>
      <c r="Q24" s="395"/>
      <c r="R24" s="528"/>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149999999999999" customHeight="1" x14ac:dyDescent="0.25">
      <c r="A25" s="83"/>
      <c r="B25" s="104"/>
      <c r="C25" s="100"/>
      <c r="D25" s="235"/>
      <c r="E25" s="270"/>
      <c r="F25" s="395"/>
      <c r="G25" s="395"/>
      <c r="H25" s="538" t="str">
        <f>IF(Tabla27889112113631[[#This Row],[Subtype]]="","",VLOOKUP(Tabla27889112113631[[#This Row],[Subtype]],'Unit-X00 Equipment'!$E$13:$H$107,4,FALSE))</f>
        <v/>
      </c>
      <c r="I25" s="623"/>
      <c r="J25" s="623"/>
      <c r="K25" s="623"/>
      <c r="L25" s="623"/>
      <c r="M25" s="272"/>
      <c r="N25" s="395"/>
      <c r="O25" s="395"/>
      <c r="P25" s="395"/>
      <c r="Q25" s="395"/>
      <c r="R25" s="528"/>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149999999999999" customHeight="1" x14ac:dyDescent="0.25">
      <c r="A26" s="83"/>
      <c r="B26" s="104"/>
      <c r="C26" s="100"/>
      <c r="D26" s="235"/>
      <c r="E26" s="270"/>
      <c r="F26" s="395"/>
      <c r="G26" s="395"/>
      <c r="H26" s="538" t="str">
        <f>IF(Tabla27889112113631[[#This Row],[Subtype]]="","",VLOOKUP(Tabla27889112113631[[#This Row],[Subtype]],'Unit-X00 Equipment'!$E$13:$H$107,4,FALSE))</f>
        <v/>
      </c>
      <c r="I26" s="623"/>
      <c r="J26" s="623"/>
      <c r="K26" s="623"/>
      <c r="L26" s="623"/>
      <c r="M26" s="272"/>
      <c r="N26" s="395"/>
      <c r="O26" s="395"/>
      <c r="P26" s="395"/>
      <c r="Q26" s="395"/>
      <c r="R26" s="528"/>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149999999999999" customHeight="1" x14ac:dyDescent="0.25">
      <c r="A27" s="83"/>
      <c r="B27" s="104"/>
      <c r="C27" s="100"/>
      <c r="D27" s="235"/>
      <c r="E27" s="270"/>
      <c r="F27" s="395"/>
      <c r="G27" s="395"/>
      <c r="H27" s="538" t="str">
        <f>IF(Tabla27889112113631[[#This Row],[Subtype]]="","",VLOOKUP(Tabla27889112113631[[#This Row],[Subtype]],'Unit-X00 Equipment'!$E$13:$H$107,4,FALSE))</f>
        <v/>
      </c>
      <c r="I27" s="623"/>
      <c r="J27" s="623"/>
      <c r="K27" s="623"/>
      <c r="L27" s="623"/>
      <c r="M27" s="272"/>
      <c r="N27" s="395"/>
      <c r="O27" s="395"/>
      <c r="P27" s="395"/>
      <c r="Q27" s="395"/>
      <c r="R27" s="528"/>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149999999999999" customHeight="1" x14ac:dyDescent="0.25">
      <c r="A28" s="83"/>
      <c r="B28" s="104"/>
      <c r="C28" s="100"/>
      <c r="D28" s="235"/>
      <c r="E28" s="270"/>
      <c r="F28" s="395"/>
      <c r="G28" s="395"/>
      <c r="H28" s="538" t="str">
        <f>IF(Tabla27889112113631[[#This Row],[Subtype]]="","",VLOOKUP(Tabla27889112113631[[#This Row],[Subtype]],'Unit-X00 Equipment'!$E$13:$H$107,4,FALSE))</f>
        <v/>
      </c>
      <c r="I28" s="623"/>
      <c r="J28" s="623"/>
      <c r="K28" s="623"/>
      <c r="L28" s="623"/>
      <c r="M28" s="272"/>
      <c r="N28" s="395"/>
      <c r="O28" s="395"/>
      <c r="P28" s="395"/>
      <c r="Q28" s="395"/>
      <c r="R28" s="528"/>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149999999999999" customHeight="1" x14ac:dyDescent="0.25">
      <c r="A29" s="83"/>
      <c r="B29" s="104"/>
      <c r="C29" s="100"/>
      <c r="D29" s="235"/>
      <c r="E29" s="270"/>
      <c r="F29" s="395"/>
      <c r="G29" s="395"/>
      <c r="H29" s="538" t="str">
        <f>IF(Tabla27889112113631[[#This Row],[Subtype]]="","",VLOOKUP(Tabla27889112113631[[#This Row],[Subtype]],'Unit-X00 Equipment'!$E$13:$H$107,4,FALSE))</f>
        <v/>
      </c>
      <c r="I29" s="623"/>
      <c r="J29" s="623"/>
      <c r="K29" s="623"/>
      <c r="L29" s="623"/>
      <c r="M29" s="272"/>
      <c r="N29" s="395"/>
      <c r="O29" s="395"/>
      <c r="P29" s="395"/>
      <c r="Q29" s="395"/>
      <c r="R29" s="528"/>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149999999999999" customHeight="1" x14ac:dyDescent="0.25">
      <c r="A30" s="83"/>
      <c r="B30" s="104"/>
      <c r="C30" s="100"/>
      <c r="D30" s="235"/>
      <c r="E30" s="270"/>
      <c r="F30" s="395"/>
      <c r="G30" s="395"/>
      <c r="H30" s="538" t="str">
        <f>IF(Tabla27889112113631[[#This Row],[Subtype]]="","",VLOOKUP(Tabla27889112113631[[#This Row],[Subtype]],'Unit-X00 Equipment'!$E$13:$H$107,4,FALSE))</f>
        <v/>
      </c>
      <c r="I30" s="623"/>
      <c r="J30" s="623"/>
      <c r="K30" s="623"/>
      <c r="L30" s="623"/>
      <c r="M30" s="272"/>
      <c r="N30" s="395"/>
      <c r="O30" s="395"/>
      <c r="P30" s="395"/>
      <c r="Q30" s="395"/>
      <c r="R30" s="528"/>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149999999999999" customHeight="1" x14ac:dyDescent="0.25">
      <c r="A31" s="83"/>
      <c r="B31" s="104"/>
      <c r="C31" s="100"/>
      <c r="D31" s="235"/>
      <c r="E31" s="270"/>
      <c r="F31" s="395"/>
      <c r="G31" s="395"/>
      <c r="H31" s="538" t="str">
        <f>IF(Tabla27889112113631[[#This Row],[Subtype]]="","",VLOOKUP(Tabla27889112113631[[#This Row],[Subtype]],'Unit-X00 Equipment'!$E$13:$H$107,4,FALSE))</f>
        <v/>
      </c>
      <c r="I31" s="623"/>
      <c r="J31" s="623"/>
      <c r="K31" s="623"/>
      <c r="L31" s="623"/>
      <c r="M31" s="272"/>
      <c r="N31" s="395"/>
      <c r="O31" s="395"/>
      <c r="P31" s="395"/>
      <c r="Q31" s="395"/>
      <c r="R31" s="528"/>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149999999999999" customHeight="1" x14ac:dyDescent="0.25">
      <c r="A32" s="83"/>
      <c r="B32" s="104"/>
      <c r="C32" s="258"/>
      <c r="D32" s="235"/>
      <c r="E32" s="270"/>
      <c r="F32" s="395"/>
      <c r="G32" s="395"/>
      <c r="H32" s="538" t="str">
        <f>IF(Tabla27889112113631[[#This Row],[Subtype]]="","",VLOOKUP(Tabla27889112113631[[#This Row],[Subtype]],'Unit-X00 Equipment'!$E$13:$H$107,4,FALSE))</f>
        <v/>
      </c>
      <c r="I32" s="623"/>
      <c r="J32" s="623"/>
      <c r="K32" s="623"/>
      <c r="L32" s="623"/>
      <c r="M32" s="172"/>
      <c r="N32" s="623"/>
      <c r="O32" s="623"/>
      <c r="P32" s="168"/>
      <c r="Q32" s="169"/>
      <c r="R32" s="528"/>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149999999999999" customHeight="1" x14ac:dyDescent="0.25">
      <c r="A33" s="83"/>
      <c r="B33" s="104"/>
      <c r="C33" s="258"/>
      <c r="D33" s="235"/>
      <c r="E33" s="270"/>
      <c r="F33" s="395"/>
      <c r="G33" s="395"/>
      <c r="H33" s="538" t="str">
        <f>IF(Tabla27889112113631[[#This Row],[Subtype]]="","",VLOOKUP(Tabla27889112113631[[#This Row],[Subtype]],'Unit-X00 Equipment'!$E$13:$H$107,4,FALSE))</f>
        <v/>
      </c>
      <c r="I33" s="623"/>
      <c r="J33" s="623"/>
      <c r="K33" s="623"/>
      <c r="L33" s="623"/>
      <c r="M33" s="172"/>
      <c r="N33" s="623"/>
      <c r="O33" s="623"/>
      <c r="P33" s="395"/>
      <c r="Q33" s="169"/>
      <c r="R33" s="528"/>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149999999999999" customHeight="1" x14ac:dyDescent="0.25">
      <c r="A34" s="83"/>
      <c r="B34" s="104"/>
      <c r="C34" s="443"/>
      <c r="D34" s="235"/>
      <c r="E34" s="270"/>
      <c r="F34" s="395"/>
      <c r="G34" s="395"/>
      <c r="H34" s="538" t="str">
        <f>IF(Tabla27889112113631[[#This Row],[Subtype]]="","",VLOOKUP(Tabla27889112113631[[#This Row],[Subtype]],'Unit-X00 Equipment'!$E$13:$H$107,4,FALSE))</f>
        <v/>
      </c>
      <c r="I34" s="623"/>
      <c r="J34" s="623"/>
      <c r="K34" s="623"/>
      <c r="L34" s="623"/>
      <c r="M34" s="172"/>
      <c r="N34" s="623"/>
      <c r="O34" s="623"/>
      <c r="P34" s="623"/>
      <c r="Q34" s="169"/>
      <c r="R34" s="528"/>
      <c r="S34" s="219" t="str">
        <f>+IF(Tabla25879012013530[[#This Row],[Equipment]]="","",Q34*R34/10^6)</f>
        <v/>
      </c>
      <c r="T34" s="106"/>
      <c r="U34" s="105"/>
      <c r="V34" s="116"/>
      <c r="W34" s="844" t="str">
        <f>+E6&amp;" Calculations"</f>
        <v>Unit 2 Calculations</v>
      </c>
      <c r="X34" s="845"/>
      <c r="Y34" s="845"/>
      <c r="Z34" s="845"/>
      <c r="AA34" s="845"/>
      <c r="AB34" s="845"/>
      <c r="AC34" s="845"/>
      <c r="AD34" s="845"/>
      <c r="AE34" s="845"/>
      <c r="AF34" s="845"/>
      <c r="AG34" s="845"/>
      <c r="AH34" s="845"/>
      <c r="AI34" s="845"/>
      <c r="AJ34" s="845"/>
      <c r="AK34" s="845"/>
      <c r="AL34" s="845"/>
      <c r="AM34" s="845"/>
      <c r="AN34" s="846"/>
      <c r="AO34" s="113"/>
      <c r="AP34" s="105"/>
      <c r="AQ34" s="243"/>
      <c r="AR34" s="457"/>
    </row>
    <row r="35" spans="1:44" ht="16.149999999999999" customHeight="1" x14ac:dyDescent="0.25">
      <c r="A35" s="83"/>
      <c r="B35" s="104"/>
      <c r="C35" s="443"/>
      <c r="D35" s="235"/>
      <c r="E35" s="270"/>
      <c r="F35" s="395"/>
      <c r="G35" s="395"/>
      <c r="H35" s="538" t="str">
        <f>IF(Tabla27889112113631[[#This Row],[Subtype]]="","",VLOOKUP(Tabla27889112113631[[#This Row],[Subtype]],'Unit-X00 Equipment'!$E$13:$H$107,4,FALSE))</f>
        <v/>
      </c>
      <c r="I35" s="623"/>
      <c r="J35" s="623"/>
      <c r="K35" s="623"/>
      <c r="L35" s="623"/>
      <c r="M35" s="172"/>
      <c r="N35" s="623"/>
      <c r="O35" s="623"/>
      <c r="P35" s="623"/>
      <c r="Q35" s="169"/>
      <c r="R35" s="528"/>
      <c r="S35" s="219" t="str">
        <f>+IF(Tabla25879012013530[[#This Row],[Equipment]]="","",Q35*R35/10^6)</f>
        <v/>
      </c>
      <c r="T35" s="106"/>
      <c r="U35" s="105"/>
      <c r="V35" s="621"/>
      <c r="W35" s="622"/>
      <c r="X35" s="622"/>
      <c r="Y35" s="622"/>
      <c r="Z35" s="622"/>
      <c r="AA35" s="622"/>
      <c r="AB35" s="623"/>
      <c r="AC35" s="622"/>
      <c r="AD35" s="622"/>
      <c r="AE35" s="622"/>
      <c r="AF35" s="622"/>
      <c r="AG35" s="622"/>
      <c r="AH35" s="622"/>
      <c r="AI35" s="622"/>
      <c r="AJ35" s="622"/>
      <c r="AK35" s="622"/>
      <c r="AL35" s="622"/>
      <c r="AM35" s="622"/>
      <c r="AN35" s="622"/>
      <c r="AO35" s="113"/>
      <c r="AP35" s="105"/>
      <c r="AQ35" s="243"/>
      <c r="AR35" s="457"/>
    </row>
    <row r="36" spans="1:44" ht="16.149999999999999" customHeight="1" x14ac:dyDescent="0.25">
      <c r="A36" s="83"/>
      <c r="B36" s="104"/>
      <c r="C36" s="443"/>
      <c r="D36" s="235"/>
      <c r="E36" s="270"/>
      <c r="F36" s="395"/>
      <c r="G36" s="395"/>
      <c r="H36" s="538" t="str">
        <f>IF(Tabla27889112113631[[#This Row],[Subtype]]="","",VLOOKUP(Tabla27889112113631[[#This Row],[Subtype]],'Unit-X00 Equipment'!$E$13:$H$107,4,FALSE))</f>
        <v/>
      </c>
      <c r="I36" s="623"/>
      <c r="J36" s="623"/>
      <c r="K36" s="623"/>
      <c r="L36" s="623"/>
      <c r="M36" s="172"/>
      <c r="N36" s="623"/>
      <c r="O36" s="623"/>
      <c r="P36" s="623"/>
      <c r="Q36" s="169"/>
      <c r="R36" s="528"/>
      <c r="S36" s="219" t="str">
        <f>+IF(Tabla25879012013530[[#This Row],[Equipment]]="","",Q36*R36/10^6)</f>
        <v/>
      </c>
      <c r="T36" s="106"/>
      <c r="U36" s="105"/>
      <c r="V36" s="621"/>
      <c r="W36" s="450"/>
      <c r="X36" s="450"/>
      <c r="Y36" s="450"/>
      <c r="Z36" s="450"/>
      <c r="AA36" s="625"/>
      <c r="AB36" s="450"/>
      <c r="AC36" s="450"/>
      <c r="AD36" s="450"/>
      <c r="AE36" s="450"/>
      <c r="AF36" s="450"/>
      <c r="AG36" s="450"/>
      <c r="AH36" s="450"/>
      <c r="AI36" s="450"/>
      <c r="AJ36" s="450"/>
      <c r="AK36" s="450"/>
      <c r="AL36" s="450"/>
      <c r="AM36" s="450"/>
      <c r="AN36" s="450"/>
      <c r="AO36" s="113"/>
      <c r="AP36" s="105"/>
      <c r="AQ36" s="243"/>
      <c r="AR36" s="457"/>
    </row>
    <row r="37" spans="1:44" ht="16.149999999999999" customHeight="1" x14ac:dyDescent="0.25">
      <c r="A37" s="83"/>
      <c r="B37" s="104"/>
      <c r="C37" s="443"/>
      <c r="D37" s="235"/>
      <c r="E37" s="270"/>
      <c r="F37" s="395"/>
      <c r="G37" s="395"/>
      <c r="H37" s="538" t="str">
        <f>IF(Tabla27889112113631[[#This Row],[Subtype]]="","",VLOOKUP(Tabla27889112113631[[#This Row],[Subtype]],'Unit-X00 Equipment'!$E$13:$H$107,4,FALSE))</f>
        <v/>
      </c>
      <c r="I37" s="623"/>
      <c r="J37" s="623"/>
      <c r="K37" s="623"/>
      <c r="L37" s="623"/>
      <c r="M37" s="172"/>
      <c r="N37" s="623"/>
      <c r="O37" s="623"/>
      <c r="P37" s="623"/>
      <c r="Q37" s="169"/>
      <c r="R37" s="528"/>
      <c r="S37" s="219" t="str">
        <f>+IF(Tabla25879012013530[[#This Row],[Equipment]]="","",Q37*R37/10^6)</f>
        <v/>
      </c>
      <c r="T37" s="106"/>
      <c r="U37" s="105"/>
      <c r="V37" s="621"/>
      <c r="W37" s="622"/>
      <c r="X37" s="622"/>
      <c r="Y37" s="622"/>
      <c r="Z37" s="622"/>
      <c r="AA37" s="622"/>
      <c r="AB37" s="540"/>
      <c r="AC37" s="540"/>
      <c r="AD37" s="540"/>
      <c r="AE37" s="540"/>
      <c r="AF37" s="540"/>
      <c r="AG37" s="540"/>
      <c r="AH37" s="540"/>
      <c r="AI37" s="540"/>
      <c r="AJ37" s="540"/>
      <c r="AK37" s="540"/>
      <c r="AL37" s="540"/>
      <c r="AM37" s="540"/>
      <c r="AN37" s="540"/>
      <c r="AO37" s="113"/>
      <c r="AP37" s="105"/>
      <c r="AQ37" s="243"/>
      <c r="AR37" s="457"/>
    </row>
    <row r="38" spans="1:44" ht="16.149999999999999" customHeight="1" x14ac:dyDescent="0.25">
      <c r="A38" s="83"/>
      <c r="B38" s="104"/>
      <c r="C38" s="443"/>
      <c r="D38" s="235"/>
      <c r="E38" s="270"/>
      <c r="F38" s="395"/>
      <c r="G38" s="395"/>
      <c r="H38" s="538" t="str">
        <f>IF(Tabla27889112113631[[#This Row],[Subtype]]="","",VLOOKUP(Tabla27889112113631[[#This Row],[Subtype]],'Unit-X00 Equipment'!$E$13:$H$107,4,FALSE))</f>
        <v/>
      </c>
      <c r="I38" s="623"/>
      <c r="J38" s="623"/>
      <c r="K38" s="623"/>
      <c r="L38" s="623"/>
      <c r="M38" s="172"/>
      <c r="N38" s="623"/>
      <c r="O38" s="623"/>
      <c r="P38" s="623"/>
      <c r="Q38" s="169"/>
      <c r="R38" s="528"/>
      <c r="S38" s="219" t="str">
        <f>+IF(Tabla25879012013530[[#This Row],[Equipment]]="","",Q38*R38/10^6)</f>
        <v/>
      </c>
      <c r="T38" s="106"/>
      <c r="U38" s="105"/>
      <c r="V38" s="621"/>
      <c r="W38" s="622"/>
      <c r="X38" s="622"/>
      <c r="Y38" s="622"/>
      <c r="Z38" s="622"/>
      <c r="AA38" s="622"/>
      <c r="AB38" s="532"/>
      <c r="AC38" s="532"/>
      <c r="AD38" s="532"/>
      <c r="AE38" s="532"/>
      <c r="AF38" s="541"/>
      <c r="AG38" s="541"/>
      <c r="AH38" s="541"/>
      <c r="AI38" s="541"/>
      <c r="AJ38" s="542"/>
      <c r="AK38" s="542"/>
      <c r="AL38" s="542"/>
      <c r="AM38" s="542"/>
      <c r="AN38" s="540"/>
      <c r="AO38" s="84"/>
      <c r="AP38" s="105"/>
      <c r="AQ38" s="243"/>
      <c r="AR38" s="457"/>
    </row>
    <row r="39" spans="1:44" ht="16.149999999999999" customHeight="1" x14ac:dyDescent="0.25">
      <c r="A39" s="83"/>
      <c r="B39" s="104"/>
      <c r="C39" s="93"/>
      <c r="D39" s="236"/>
      <c r="E39" s="271"/>
      <c r="F39" s="165"/>
      <c r="G39" s="165"/>
      <c r="H39" s="538" t="str">
        <f>IF(Tabla27889112113631[[#This Row],[Subtype]]="","",VLOOKUP(Tabla27889112113631[[#This Row],[Subtype]],'Unit-X00 Equipment'!$E$13:$H$107,4,FALSE))</f>
        <v/>
      </c>
      <c r="L39" s="92"/>
      <c r="M39" s="273"/>
      <c r="N39" s="92"/>
      <c r="O39" s="92"/>
      <c r="P39" s="92"/>
      <c r="Q39" s="274"/>
      <c r="R39" s="529"/>
      <c r="S39" s="219" t="str">
        <f>+IF(Tabla25879012013530[[#This Row],[Equipment]]="","",Q39*R39/10^6)</f>
        <v/>
      </c>
      <c r="T39" s="106"/>
      <c r="U39" s="105"/>
      <c r="V39" s="621"/>
      <c r="W39" s="622"/>
      <c r="X39" s="249"/>
      <c r="Y39" s="249"/>
      <c r="Z39" s="622"/>
      <c r="AA39" s="622"/>
      <c r="AB39" s="622"/>
      <c r="AC39" s="622"/>
      <c r="AD39" s="622"/>
      <c r="AE39" s="622"/>
      <c r="AF39" s="389"/>
      <c r="AG39" s="389"/>
      <c r="AH39" s="389"/>
      <c r="AI39" s="389"/>
      <c r="AJ39" s="389"/>
      <c r="AK39" s="389"/>
      <c r="AL39" s="389"/>
      <c r="AM39" s="389"/>
      <c r="AN39" s="622"/>
      <c r="AO39" s="113"/>
      <c r="AP39" s="105"/>
      <c r="AQ39" s="243"/>
      <c r="AR39" s="457"/>
    </row>
    <row r="40" spans="1:44" ht="16.149999999999999" customHeight="1" x14ac:dyDescent="0.25">
      <c r="A40" s="83"/>
      <c r="B40" s="104"/>
      <c r="C40" s="93"/>
      <c r="D40" s="236"/>
      <c r="E40" s="271"/>
      <c r="F40" s="165"/>
      <c r="G40" s="165"/>
      <c r="H40" s="538" t="str">
        <f>IF(Tabla27889112113631[[#This Row],[Subtype]]="","",VLOOKUP(Tabla27889112113631[[#This Row],[Subtype]],'Unit-X00 Equipment'!$E$13:$H$107,4,FALSE))</f>
        <v/>
      </c>
      <c r="L40" s="92"/>
      <c r="M40" s="273"/>
      <c r="N40" s="92"/>
      <c r="O40" s="92"/>
      <c r="P40" s="92"/>
      <c r="Q40" s="274"/>
      <c r="R40" s="529"/>
      <c r="S40" s="219" t="str">
        <f>+IF(Tabla25879012013530[[#This Row],[Equipment]]="","",Q40*R40/10^6)</f>
        <v/>
      </c>
      <c r="T40" s="106"/>
      <c r="U40" s="105"/>
      <c r="V40" s="621"/>
      <c r="W40" s="622"/>
      <c r="X40" s="249"/>
      <c r="Y40" s="249"/>
      <c r="Z40" s="622"/>
      <c r="AA40" s="622"/>
      <c r="AB40" s="622"/>
      <c r="AC40" s="451"/>
      <c r="AD40" s="622"/>
      <c r="AE40" s="622"/>
      <c r="AF40" s="622"/>
      <c r="AG40" s="388"/>
      <c r="AH40" s="622"/>
      <c r="AI40" s="388"/>
      <c r="AJ40" s="622"/>
      <c r="AK40" s="388"/>
      <c r="AL40" s="622"/>
      <c r="AM40" s="531"/>
      <c r="AN40" s="388"/>
      <c r="AO40" s="113"/>
      <c r="AP40" s="105"/>
      <c r="AQ40" s="243"/>
      <c r="AR40" s="457"/>
    </row>
    <row r="41" spans="1:44" ht="16.149999999999999" customHeight="1" x14ac:dyDescent="0.25">
      <c r="A41" s="83"/>
      <c r="B41" s="104"/>
      <c r="C41" s="258"/>
      <c r="D41" s="235"/>
      <c r="E41" s="270"/>
      <c r="F41" s="395"/>
      <c r="G41" s="395"/>
      <c r="H41" s="538" t="str">
        <f>IF(Tabla27889112113631[[#This Row],[Subtype]]="","",VLOOKUP(Tabla27889112113631[[#This Row],[Subtype]],'Unit-X00 Equipment'!$E$13:$H$107,4,FALSE))</f>
        <v/>
      </c>
      <c r="I41" s="623"/>
      <c r="J41" s="623"/>
      <c r="K41" s="623"/>
      <c r="L41" s="623"/>
      <c r="M41" s="172"/>
      <c r="N41" s="623"/>
      <c r="O41" s="623"/>
      <c r="P41" s="168"/>
      <c r="Q41" s="169"/>
      <c r="R41" s="528"/>
      <c r="S41" s="219" t="str">
        <f>+IF(Tabla25879012013530[[#This Row],[Equipment]]="","",Q41*R41/10^6)</f>
        <v/>
      </c>
      <c r="T41" s="106"/>
      <c r="U41" s="105"/>
      <c r="V41" s="621"/>
      <c r="W41" s="622"/>
      <c r="X41" s="531"/>
      <c r="Y41" s="531"/>
      <c r="Z41" s="622"/>
      <c r="AA41" s="622"/>
      <c r="AB41" s="622"/>
      <c r="AC41" s="622"/>
      <c r="AD41" s="622"/>
      <c r="AE41" s="622"/>
      <c r="AF41" s="622"/>
      <c r="AG41" s="388"/>
      <c r="AH41" s="622"/>
      <c r="AI41" s="388"/>
      <c r="AJ41" s="622"/>
      <c r="AK41" s="622"/>
      <c r="AL41" s="622"/>
      <c r="AM41" s="622"/>
      <c r="AN41" s="388"/>
      <c r="AO41" s="113"/>
      <c r="AP41" s="105"/>
      <c r="AQ41" s="243"/>
      <c r="AR41" s="457"/>
    </row>
    <row r="42" spans="1:44" ht="16.149999999999999" customHeight="1" x14ac:dyDescent="0.25">
      <c r="A42" s="83"/>
      <c r="B42" s="104"/>
      <c r="C42" s="258"/>
      <c r="D42" s="235"/>
      <c r="E42" s="270"/>
      <c r="F42" s="395"/>
      <c r="G42" s="395"/>
      <c r="H42" s="538" t="str">
        <f>IF(Tabla27889112113631[[#This Row],[Subtype]]="","",VLOOKUP(Tabla27889112113631[[#This Row],[Subtype]],'Unit-X00 Equipment'!$E$13:$H$107,4,FALSE))</f>
        <v/>
      </c>
      <c r="I42" s="623"/>
      <c r="J42" s="623"/>
      <c r="K42" s="623"/>
      <c r="L42" s="623"/>
      <c r="M42" s="172"/>
      <c r="N42" s="623"/>
      <c r="O42" s="623"/>
      <c r="P42" s="395"/>
      <c r="Q42" s="169"/>
      <c r="R42" s="528"/>
      <c r="S42" s="219" t="str">
        <f>+IF(Tabla25879012013530[[#This Row],[Equipment]]="","",Q42*R42/10^6)</f>
        <v/>
      </c>
      <c r="T42" s="106"/>
      <c r="U42" s="105"/>
      <c r="V42" s="621"/>
      <c r="W42" s="622"/>
      <c r="X42" s="531"/>
      <c r="Y42" s="531"/>
      <c r="Z42" s="622"/>
      <c r="AA42" s="622"/>
      <c r="AB42" s="622"/>
      <c r="AC42" s="622"/>
      <c r="AD42" s="622"/>
      <c r="AE42" s="622"/>
      <c r="AF42" s="622"/>
      <c r="AG42" s="388"/>
      <c r="AH42" s="622"/>
      <c r="AI42" s="622"/>
      <c r="AJ42" s="622"/>
      <c r="AK42" s="622"/>
      <c r="AL42" s="622"/>
      <c r="AM42" s="622"/>
      <c r="AN42" s="388"/>
      <c r="AO42" s="113"/>
      <c r="AP42" s="105"/>
      <c r="AQ42" s="243"/>
      <c r="AR42" s="457"/>
    </row>
    <row r="43" spans="1:44" ht="16.149999999999999" customHeight="1" x14ac:dyDescent="0.25">
      <c r="A43" s="83"/>
      <c r="B43" s="104"/>
      <c r="C43" s="443"/>
      <c r="D43" s="235"/>
      <c r="E43" s="270"/>
      <c r="F43" s="395"/>
      <c r="G43" s="395"/>
      <c r="H43" s="538" t="str">
        <f>IF(Tabla27889112113631[[#This Row],[Subtype]]="","",VLOOKUP(Tabla27889112113631[[#This Row],[Subtype]],'Unit-X00 Equipment'!$E$13:$H$107,4,FALSE))</f>
        <v/>
      </c>
      <c r="I43" s="623"/>
      <c r="J43" s="623"/>
      <c r="K43" s="623"/>
      <c r="L43" s="623"/>
      <c r="M43" s="335"/>
      <c r="N43" s="393"/>
      <c r="O43" s="393"/>
      <c r="P43" s="393"/>
      <c r="Q43" s="336"/>
      <c r="R43" s="530"/>
      <c r="S43" s="219" t="str">
        <f>+IF(Tabla25879012013530[[#This Row],[Equipment]]="","",Q43*R43/10^6)</f>
        <v/>
      </c>
      <c r="T43" s="106"/>
      <c r="U43" s="105"/>
      <c r="V43" s="621"/>
      <c r="W43" s="622"/>
      <c r="X43" s="249"/>
      <c r="Y43" s="249"/>
      <c r="Z43" s="622"/>
      <c r="AA43" s="622"/>
      <c r="AB43" s="622"/>
      <c r="AC43" s="622"/>
      <c r="AD43" s="622"/>
      <c r="AE43" s="622"/>
      <c r="AF43" s="531"/>
      <c r="AG43" s="388"/>
      <c r="AH43" s="622"/>
      <c r="AI43" s="622"/>
      <c r="AJ43" s="622"/>
      <c r="AK43" s="622"/>
      <c r="AL43" s="622"/>
      <c r="AM43" s="622"/>
      <c r="AN43" s="388"/>
      <c r="AO43" s="113"/>
      <c r="AP43" s="105"/>
      <c r="AQ43" s="243"/>
      <c r="AR43" s="457"/>
    </row>
    <row r="44" spans="1:44" ht="16.149999999999999" customHeight="1" x14ac:dyDescent="0.25">
      <c r="A44" s="83"/>
      <c r="B44" s="104"/>
      <c r="C44" s="444"/>
      <c r="D44" s="851" t="s">
        <v>537</v>
      </c>
      <c r="E44" s="851"/>
      <c r="F44" s="851"/>
      <c r="G44" s="851"/>
      <c r="H44" s="851"/>
      <c r="I44" s="851"/>
      <c r="J44" s="851"/>
      <c r="K44" s="851"/>
      <c r="L44" s="851"/>
      <c r="M44" s="874"/>
      <c r="N44" s="874"/>
      <c r="O44" s="874"/>
      <c r="P44" s="874"/>
      <c r="Q44" s="874"/>
      <c r="R44" s="874"/>
      <c r="S44" s="446"/>
      <c r="T44" s="106"/>
      <c r="U44" s="105"/>
      <c r="V44" s="621"/>
      <c r="W44" s="622"/>
      <c r="X44" s="249"/>
      <c r="Y44" s="249"/>
      <c r="Z44" s="622"/>
      <c r="AA44" s="622"/>
      <c r="AB44" s="622"/>
      <c r="AC44" s="622"/>
      <c r="AD44" s="622"/>
      <c r="AE44" s="622"/>
      <c r="AF44" s="531"/>
      <c r="AG44" s="388"/>
      <c r="AH44" s="622"/>
      <c r="AI44" s="622"/>
      <c r="AJ44" s="622"/>
      <c r="AK44" s="622"/>
      <c r="AL44" s="622"/>
      <c r="AM44" s="622"/>
      <c r="AN44" s="388"/>
      <c r="AO44" s="113"/>
      <c r="AP44" s="105"/>
      <c r="AQ44" s="243"/>
      <c r="AR44" s="457"/>
    </row>
    <row r="45" spans="1:44" ht="16.149999999999999" customHeight="1" x14ac:dyDescent="0.25">
      <c r="A45" s="83"/>
      <c r="B45" s="104"/>
      <c r="C45" s="572" t="s">
        <v>582</v>
      </c>
      <c r="D45" s="564" t="s">
        <v>499</v>
      </c>
      <c r="E45" s="564" t="s">
        <v>498</v>
      </c>
      <c r="F45" s="573" t="s">
        <v>464</v>
      </c>
      <c r="G45" s="573" t="s">
        <v>315</v>
      </c>
      <c r="H45" s="573" t="s">
        <v>509</v>
      </c>
      <c r="I45" s="564" t="s">
        <v>506</v>
      </c>
      <c r="J45" s="564" t="s">
        <v>235</v>
      </c>
      <c r="K45" s="564" t="s">
        <v>466</v>
      </c>
      <c r="L45" s="564" t="s">
        <v>467</v>
      </c>
      <c r="M45" s="574" t="s">
        <v>586</v>
      </c>
      <c r="N45" s="575" t="s">
        <v>469</v>
      </c>
      <c r="O45" s="570" t="s">
        <v>468</v>
      </c>
      <c r="P45" s="564" t="s">
        <v>465</v>
      </c>
      <c r="Q45" s="564" t="s">
        <v>471</v>
      </c>
      <c r="R45" s="646" t="s">
        <v>470</v>
      </c>
      <c r="S45" s="646" t="s">
        <v>497</v>
      </c>
      <c r="T45" s="106"/>
      <c r="U45" s="105"/>
      <c r="V45" s="621"/>
      <c r="W45" s="622"/>
      <c r="X45" s="249"/>
      <c r="Y45" s="249"/>
      <c r="Z45" s="622"/>
      <c r="AA45" s="622"/>
      <c r="AB45" s="622"/>
      <c r="AC45" s="622"/>
      <c r="AD45" s="622"/>
      <c r="AE45" s="622"/>
      <c r="AF45" s="531"/>
      <c r="AG45" s="388"/>
      <c r="AH45" s="622"/>
      <c r="AI45" s="622"/>
      <c r="AJ45" s="622"/>
      <c r="AK45" s="622"/>
      <c r="AL45" s="622"/>
      <c r="AM45" s="622"/>
      <c r="AN45" s="388"/>
      <c r="AO45" s="113"/>
      <c r="AP45" s="105"/>
      <c r="AQ45" s="243"/>
      <c r="AR45" s="457"/>
    </row>
    <row r="46" spans="1:44" ht="16.149999999999999" customHeight="1" x14ac:dyDescent="0.25">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21"/>
      <c r="W46" s="622"/>
      <c r="X46" s="249"/>
      <c r="Y46" s="249"/>
      <c r="Z46" s="622"/>
      <c r="AA46" s="622"/>
      <c r="AB46" s="622"/>
      <c r="AC46" s="622"/>
      <c r="AD46" s="622"/>
      <c r="AE46" s="622"/>
      <c r="AF46" s="531"/>
      <c r="AG46" s="388"/>
      <c r="AH46" s="622"/>
      <c r="AI46" s="622"/>
      <c r="AJ46" s="622"/>
      <c r="AK46" s="622"/>
      <c r="AL46" s="622"/>
      <c r="AM46" s="622"/>
      <c r="AN46" s="388"/>
      <c r="AO46" s="113"/>
      <c r="AP46" s="105"/>
      <c r="AQ46" s="243"/>
      <c r="AR46" s="457"/>
    </row>
    <row r="47" spans="1:44" ht="16.149999999999999" customHeight="1" x14ac:dyDescent="0.25">
      <c r="A47" s="83"/>
      <c r="B47" s="104"/>
      <c r="C47" s="387"/>
      <c r="D47" s="440"/>
      <c r="E47" s="623"/>
      <c r="F47" s="257"/>
      <c r="G47" s="257"/>
      <c r="H47" s="257"/>
      <c r="I47" s="396"/>
      <c r="J47" s="396"/>
      <c r="K47" s="623"/>
      <c r="L47" s="623"/>
      <c r="M47" s="440"/>
      <c r="N47" s="623"/>
      <c r="O47" s="623"/>
      <c r="P47" s="623"/>
      <c r="Q47" s="623"/>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21"/>
      <c r="W47" s="622"/>
      <c r="X47" s="249"/>
      <c r="Y47" s="249"/>
      <c r="Z47" s="622"/>
      <c r="AA47" s="622"/>
      <c r="AB47" s="622"/>
      <c r="AC47" s="622"/>
      <c r="AD47" s="622"/>
      <c r="AE47" s="622"/>
      <c r="AF47" s="622"/>
      <c r="AG47" s="622"/>
      <c r="AH47" s="622"/>
      <c r="AI47" s="622"/>
      <c r="AJ47" s="622"/>
      <c r="AK47" s="533"/>
      <c r="AL47" s="533"/>
      <c r="AM47" s="533"/>
      <c r="AN47" s="622"/>
      <c r="AO47" s="113"/>
      <c r="AP47" s="105"/>
      <c r="AQ47" s="243"/>
      <c r="AR47" s="457"/>
    </row>
    <row r="48" spans="1:44" ht="16.149999999999999" customHeight="1" x14ac:dyDescent="0.25">
      <c r="A48" s="83"/>
      <c r="B48" s="104"/>
      <c r="C48" s="218"/>
      <c r="D48" s="440"/>
      <c r="E48" s="623"/>
      <c r="F48" s="257"/>
      <c r="G48" s="257"/>
      <c r="H48" s="257"/>
      <c r="I48" s="623"/>
      <c r="J48" s="623"/>
      <c r="K48" s="623"/>
      <c r="L48" s="623"/>
      <c r="M48" s="440"/>
      <c r="N48" s="623"/>
      <c r="O48" s="623"/>
      <c r="P48" s="623"/>
      <c r="Q48" s="623"/>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2"/>
      <c r="X48" s="532"/>
      <c r="Y48" s="532"/>
      <c r="Z48" s="532"/>
      <c r="AA48" s="532"/>
      <c r="AB48" s="532"/>
      <c r="AC48" s="532"/>
      <c r="AD48" s="532"/>
      <c r="AE48" s="532"/>
      <c r="AF48" s="543"/>
      <c r="AG48" s="265" t="s">
        <v>707</v>
      </c>
      <c r="AH48" s="265" t="s">
        <v>360</v>
      </c>
      <c r="AI48" s="871" t="s">
        <v>580</v>
      </c>
      <c r="AJ48" s="872"/>
      <c r="AK48" s="872"/>
      <c r="AL48" s="872"/>
      <c r="AM48" s="872"/>
      <c r="AN48" s="873"/>
      <c r="AO48" s="113"/>
      <c r="AP48" s="105"/>
      <c r="AQ48" s="243"/>
      <c r="AR48" s="457"/>
    </row>
    <row r="49" spans="1:57" ht="16.149999999999999" customHeight="1" x14ac:dyDescent="0.25">
      <c r="A49" s="83"/>
      <c r="B49" s="104"/>
      <c r="C49" s="218"/>
      <c r="D49" s="440"/>
      <c r="E49" s="623"/>
      <c r="F49" s="257"/>
      <c r="G49" s="257"/>
      <c r="H49" s="257"/>
      <c r="I49" s="623"/>
      <c r="J49" s="623"/>
      <c r="K49" s="623"/>
      <c r="L49" s="623"/>
      <c r="M49" s="440"/>
      <c r="N49" s="623"/>
      <c r="O49" s="623"/>
      <c r="P49" s="623"/>
      <c r="Q49" s="623"/>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2"/>
      <c r="X49" s="532"/>
      <c r="Y49" s="532"/>
      <c r="Z49" s="532"/>
      <c r="AA49" s="532"/>
      <c r="AB49" s="532"/>
      <c r="AC49" s="532"/>
      <c r="AD49" s="532"/>
      <c r="AE49" s="532"/>
      <c r="AF49" s="543"/>
      <c r="AG49" s="679"/>
      <c r="AH49" s="680"/>
      <c r="AI49" s="681"/>
      <c r="AJ49" s="681"/>
      <c r="AK49" s="681"/>
      <c r="AL49" s="681"/>
      <c r="AM49" s="681"/>
      <c r="AN49" s="682"/>
      <c r="AO49" s="113"/>
      <c r="AP49" s="105"/>
      <c r="AQ49" s="243"/>
      <c r="AR49" s="457"/>
    </row>
    <row r="50" spans="1:57" ht="16.149999999999999" customHeight="1" x14ac:dyDescent="0.25">
      <c r="A50" s="83"/>
      <c r="B50" s="104"/>
      <c r="C50" s="218"/>
      <c r="D50" s="440"/>
      <c r="E50" s="623"/>
      <c r="F50" s="257"/>
      <c r="G50" s="257"/>
      <c r="H50" s="257"/>
      <c r="I50" s="623"/>
      <c r="J50" s="623"/>
      <c r="K50" s="623"/>
      <c r="L50" s="623"/>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2"/>
      <c r="X50" s="532"/>
      <c r="Y50" s="532"/>
      <c r="Z50" s="532"/>
      <c r="AA50" s="532"/>
      <c r="AB50" s="532"/>
      <c r="AC50" s="532"/>
      <c r="AD50" s="532"/>
      <c r="AE50" s="532"/>
      <c r="AF50" s="543"/>
      <c r="AG50" s="674"/>
      <c r="AH50" s="683"/>
      <c r="AI50" s="526"/>
      <c r="AJ50" s="526"/>
      <c r="AK50" s="526"/>
      <c r="AL50" s="526"/>
      <c r="AM50" s="526"/>
      <c r="AN50" s="675"/>
      <c r="AO50" s="113"/>
      <c r="AP50" s="105"/>
      <c r="AQ50" s="243"/>
      <c r="AR50" s="457"/>
    </row>
    <row r="51" spans="1:57" ht="16.149999999999999" customHeight="1" x14ac:dyDescent="0.25">
      <c r="A51" s="83"/>
      <c r="B51" s="104"/>
      <c r="C51" s="226"/>
      <c r="D51" s="477"/>
      <c r="E51" s="393"/>
      <c r="F51" s="393"/>
      <c r="G51" s="393"/>
      <c r="H51" s="393"/>
      <c r="I51" s="393"/>
      <c r="J51" s="393"/>
      <c r="K51" s="393"/>
      <c r="L51" s="478"/>
      <c r="M51" s="578" t="s">
        <v>585</v>
      </c>
      <c r="N51" s="568" t="s">
        <v>464</v>
      </c>
      <c r="O51" s="633" t="s">
        <v>315</v>
      </c>
      <c r="P51" s="884" t="s">
        <v>477</v>
      </c>
      <c r="Q51" s="885"/>
      <c r="R51" s="646" t="s">
        <v>643</v>
      </c>
      <c r="S51" s="580" t="s">
        <v>642</v>
      </c>
      <c r="T51" s="106"/>
      <c r="U51" s="105"/>
      <c r="V51" s="120"/>
      <c r="W51" s="532"/>
      <c r="X51" s="532"/>
      <c r="Y51" s="532"/>
      <c r="Z51" s="532"/>
      <c r="AA51" s="532"/>
      <c r="AB51" s="532"/>
      <c r="AC51" s="532"/>
      <c r="AD51" s="532"/>
      <c r="AE51" s="532"/>
      <c r="AF51" s="543"/>
      <c r="AG51" s="674"/>
      <c r="AH51" s="683"/>
      <c r="AI51" s="526"/>
      <c r="AJ51" s="526"/>
      <c r="AK51" s="526"/>
      <c r="AL51" s="526"/>
      <c r="AM51" s="526"/>
      <c r="AN51" s="675"/>
      <c r="AO51" s="113"/>
      <c r="AP51" s="105"/>
      <c r="AQ51" s="243"/>
      <c r="AR51" s="457"/>
    </row>
    <row r="52" spans="1:57" ht="16.149999999999999" customHeight="1" x14ac:dyDescent="0.25">
      <c r="A52" s="83"/>
      <c r="B52" s="104"/>
      <c r="C52" s="643"/>
      <c r="D52" s="637"/>
      <c r="E52" s="637"/>
      <c r="F52" s="637"/>
      <c r="G52" s="637"/>
      <c r="H52" s="637"/>
      <c r="I52" s="637"/>
      <c r="J52" s="637"/>
      <c r="K52" s="637"/>
      <c r="L52" s="638"/>
      <c r="M52" s="634" t="s">
        <v>489</v>
      </c>
      <c r="N52" s="557" t="s">
        <v>487</v>
      </c>
      <c r="O52" s="635">
        <v>2001</v>
      </c>
      <c r="P52" s="886" t="s">
        <v>478</v>
      </c>
      <c r="Q52" s="887"/>
      <c r="R52" s="583" t="str">
        <f>+IF(SUM(S13:S43)&gt;0,IF(G3="Equipment",SUM(S13:S43),"NaN"),"")</f>
        <v/>
      </c>
      <c r="S52" s="584" t="str" cm="1">
        <f t="array" aca="1" ref="S52" ca="1">+IF(R52="","",R52*INDIRECT(ADDRESS(MATCH(O52,'Cost Conversion'!$B$3:$B$48,0)+2,4,1,1,"Cost conversion"))*INDIRECT(ADDRESS(MATCH(P52,'Cost Conversion'!$F$3:$F$22,0)+2,8,1,1,"Cost conversion"))/IF(N52="$",'Cost Conversion'!$L$2,1))</f>
        <v/>
      </c>
      <c r="T52" s="106"/>
      <c r="U52" s="105"/>
      <c r="V52" s="120"/>
      <c r="W52" s="532"/>
      <c r="X52" s="532"/>
      <c r="Y52" s="532"/>
      <c r="Z52" s="532"/>
      <c r="AA52" s="532"/>
      <c r="AB52" s="532"/>
      <c r="AC52" s="532"/>
      <c r="AD52" s="532"/>
      <c r="AE52" s="532"/>
      <c r="AF52" s="543"/>
      <c r="AG52" s="674"/>
      <c r="AH52" s="683"/>
      <c r="AI52" s="526"/>
      <c r="AJ52" s="526"/>
      <c r="AK52" s="526"/>
      <c r="AL52" s="526"/>
      <c r="AM52" s="526"/>
      <c r="AN52" s="675"/>
      <c r="AO52" s="113"/>
      <c r="AP52" s="105"/>
      <c r="AQ52" s="243"/>
      <c r="AR52" s="457"/>
    </row>
    <row r="53" spans="1:57" ht="16.149999999999999" customHeight="1" x14ac:dyDescent="0.25">
      <c r="A53" s="83"/>
      <c r="B53" s="104"/>
      <c r="C53" s="639"/>
      <c r="D53" s="640"/>
      <c r="E53" s="640"/>
      <c r="F53" s="640"/>
      <c r="G53" s="640"/>
      <c r="H53" s="640"/>
      <c r="I53" s="640"/>
      <c r="J53" s="640"/>
      <c r="K53" s="640"/>
      <c r="L53" s="641"/>
      <c r="M53" s="557" t="s">
        <v>644</v>
      </c>
      <c r="N53" s="140"/>
      <c r="O53" s="146"/>
      <c r="P53" s="886"/>
      <c r="Q53" s="887"/>
      <c r="R53" s="583" t="s">
        <v>354</v>
      </c>
      <c r="S53" s="584" t="str">
        <f ca="1">+IF(SUM(S46:S50)&gt;0,SUM(S46:S50),"")</f>
        <v/>
      </c>
      <c r="T53" s="106"/>
      <c r="U53" s="105"/>
      <c r="V53" s="120"/>
      <c r="W53" s="532"/>
      <c r="X53" s="532"/>
      <c r="Y53" s="532"/>
      <c r="Z53" s="532"/>
      <c r="AA53" s="532"/>
      <c r="AB53" s="532"/>
      <c r="AC53" s="532"/>
      <c r="AD53" s="532"/>
      <c r="AE53" s="532"/>
      <c r="AF53" s="543"/>
      <c r="AG53" s="676"/>
      <c r="AH53" s="684"/>
      <c r="AI53" s="677"/>
      <c r="AJ53" s="677"/>
      <c r="AK53" s="677"/>
      <c r="AL53" s="677"/>
      <c r="AM53" s="677"/>
      <c r="AN53" s="678"/>
      <c r="AO53" s="113"/>
      <c r="AP53" s="105"/>
      <c r="AQ53" s="243"/>
      <c r="AR53" s="457"/>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149999999999999" customHeight="1" x14ac:dyDescent="0.25">
      <c r="A56" s="83"/>
      <c r="B56" s="850" t="s">
        <v>597</v>
      </c>
      <c r="C56" s="851"/>
      <c r="D56" s="851"/>
      <c r="E56" s="851"/>
      <c r="F56" s="851"/>
      <c r="G56" s="852"/>
      <c r="H56" s="850" t="s">
        <v>637</v>
      </c>
      <c r="I56" s="851"/>
      <c r="J56" s="851"/>
      <c r="K56" s="851"/>
      <c r="L56" s="851"/>
      <c r="M56" s="851"/>
      <c r="N56" s="852"/>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149999999999999" customHeight="1" x14ac:dyDescent="0.25">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149999999999999" customHeight="1" x14ac:dyDescent="0.25">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149999999999999" customHeight="1" x14ac:dyDescent="0.25">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149999999999999" customHeight="1" x14ac:dyDescent="0.25">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149999999999999" customHeight="1" x14ac:dyDescent="0.25">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149999999999999" customHeight="1" x14ac:dyDescent="0.25">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149999999999999" customHeight="1" x14ac:dyDescent="0.25">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149999999999999" customHeight="1" x14ac:dyDescent="0.25">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149999999999999" customHeight="1" x14ac:dyDescent="0.25">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149999999999999" customHeight="1" x14ac:dyDescent="0.25">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149999999999999" customHeight="1" x14ac:dyDescent="0.25">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149999999999999" customHeight="1" x14ac:dyDescent="0.25">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149999999999999" customHeight="1" x14ac:dyDescent="0.25">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149999999999999" customHeight="1" x14ac:dyDescent="0.25">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149999999999999" customHeight="1" x14ac:dyDescent="0.25">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149999999999999" customHeight="1" x14ac:dyDescent="0.25">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149999999999999" customHeight="1" x14ac:dyDescent="0.25">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149999999999999" customHeight="1" x14ac:dyDescent="0.25">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149999999999999" customHeight="1" x14ac:dyDescent="0.25">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149999999999999" customHeight="1" x14ac:dyDescent="0.25">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149999999999999" customHeight="1" x14ac:dyDescent="0.25">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149999999999999" customHeight="1" x14ac:dyDescent="0.25">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149999999999999" customHeight="1" x14ac:dyDescent="0.25">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149999999999999" customHeight="1" x14ac:dyDescent="0.25">
      <c r="A80" s="83"/>
      <c r="B80" s="104"/>
      <c r="C80" s="105"/>
      <c r="D80" s="105"/>
      <c r="E80" s="105"/>
      <c r="F80" s="105"/>
      <c r="G80" s="106"/>
      <c r="H80" s="128" t="s">
        <v>707</v>
      </c>
      <c r="I80" s="129" t="s">
        <v>360</v>
      </c>
      <c r="J80" s="890" t="s">
        <v>580</v>
      </c>
      <c r="K80" s="891"/>
      <c r="L80" s="891"/>
      <c r="M80" s="891"/>
      <c r="N80" s="892"/>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149999999999999" customHeight="1" x14ac:dyDescent="0.25">
      <c r="A81" s="83"/>
      <c r="B81" s="107"/>
      <c r="C81" s="108"/>
      <c r="D81" s="108"/>
      <c r="E81" s="108"/>
      <c r="F81" s="108"/>
      <c r="G81" s="109"/>
      <c r="H81" s="685"/>
      <c r="I81" s="686"/>
      <c r="J81" s="881"/>
      <c r="K81" s="882"/>
      <c r="L81" s="882"/>
      <c r="M81" s="882"/>
      <c r="N81" s="883"/>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149999999999999" customHeight="1" x14ac:dyDescent="0.25">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25">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25">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25">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25">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25">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25">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25">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25">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25">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25">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25">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25">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25">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25">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25">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25">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25">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25">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50" t="s">
        <v>270</v>
      </c>
      <c r="D3" s="851"/>
      <c r="E3" s="851"/>
      <c r="F3" s="852"/>
      <c r="G3" s="850" t="s">
        <v>341</v>
      </c>
      <c r="H3" s="852"/>
      <c r="J3" s="850" t="s">
        <v>500</v>
      </c>
      <c r="K3" s="851"/>
      <c r="L3" s="851"/>
      <c r="M3" s="852"/>
      <c r="O3" s="850" t="str">
        <f>+E6</f>
        <v>Unit 3</v>
      </c>
      <c r="P3" s="851"/>
      <c r="Q3" s="851"/>
      <c r="R3" s="851"/>
      <c r="S3" s="852"/>
      <c r="T3" s="106"/>
      <c r="U3" s="104"/>
      <c r="V3" s="120"/>
      <c r="W3" s="841" t="str">
        <f>+E6&amp;" Diagram"</f>
        <v>Unit 3 Diagram</v>
      </c>
      <c r="X3" s="842"/>
      <c r="Y3" s="842"/>
      <c r="Z3" s="842"/>
      <c r="AA3" s="842"/>
      <c r="AB3" s="842"/>
      <c r="AC3" s="842"/>
      <c r="AD3" s="842"/>
      <c r="AE3" s="842"/>
      <c r="AF3" s="842"/>
      <c r="AG3" s="842"/>
      <c r="AH3" s="843"/>
      <c r="AI3" s="113"/>
      <c r="AJ3" s="437"/>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
      <c r="A5" s="83"/>
      <c r="B5" s="104"/>
      <c r="C5" s="105"/>
      <c r="D5" s="853" t="s">
        <v>265</v>
      </c>
      <c r="E5" s="854"/>
      <c r="F5" s="213"/>
      <c r="G5" s="853" t="s">
        <v>267</v>
      </c>
      <c r="H5" s="854"/>
      <c r="J5" s="519"/>
      <c r="K5" s="520"/>
      <c r="L5" s="216" t="s">
        <v>470</v>
      </c>
      <c r="M5" s="525" t="s">
        <v>504</v>
      </c>
      <c r="O5" s="814" t="s">
        <v>580</v>
      </c>
      <c r="P5" s="815"/>
      <c r="Q5" s="815"/>
      <c r="R5" s="815"/>
      <c r="S5" s="816"/>
      <c r="T5" s="106"/>
      <c r="U5" s="104"/>
      <c r="V5" s="120"/>
      <c r="W5" s="120"/>
      <c r="X5" s="112"/>
      <c r="Y5" s="112"/>
      <c r="Z5" s="112"/>
      <c r="AA5" s="112"/>
      <c r="AB5" s="112"/>
      <c r="AC5" s="112"/>
      <c r="AD5" s="112"/>
      <c r="AE5" s="112"/>
      <c r="AF5" s="112"/>
      <c r="AG5" s="112"/>
      <c r="AH5" s="113"/>
      <c r="AI5" s="113"/>
      <c r="AJ5" s="437"/>
    </row>
    <row r="6" spans="1:36" ht="18.600000000000001" customHeight="1" x14ac:dyDescent="0.25">
      <c r="A6" s="83"/>
      <c r="B6" s="104"/>
      <c r="C6" s="888" t="s">
        <v>496</v>
      </c>
      <c r="D6" s="646" t="s">
        <v>694</v>
      </c>
      <c r="E6" s="661" t="str">
        <f>+'Plant Overview'!V40</f>
        <v>Unit 3</v>
      </c>
      <c r="F6" s="214"/>
      <c r="G6" s="85"/>
      <c r="H6" s="398" t="s">
        <v>262</v>
      </c>
      <c r="J6" s="521"/>
      <c r="K6" s="522"/>
      <c r="L6" s="94" t="s">
        <v>471</v>
      </c>
      <c r="M6" s="86" t="s">
        <v>505</v>
      </c>
      <c r="O6" s="858"/>
      <c r="P6" s="859"/>
      <c r="Q6" s="859"/>
      <c r="R6" s="859"/>
      <c r="S6" s="860"/>
      <c r="T6" s="106"/>
      <c r="U6" s="104"/>
      <c r="V6" s="120"/>
      <c r="W6" s="120"/>
      <c r="X6" s="112"/>
      <c r="Y6" s="112"/>
      <c r="Z6" s="112"/>
      <c r="AA6" s="112"/>
      <c r="AB6" s="112"/>
      <c r="AC6" s="112"/>
      <c r="AD6" s="112"/>
      <c r="AE6" s="112"/>
      <c r="AF6" s="112"/>
      <c r="AG6" s="112"/>
      <c r="AH6" s="113"/>
      <c r="AI6" s="113"/>
      <c r="AJ6" s="437"/>
    </row>
    <row r="7" spans="1:36" ht="18.600000000000001" customHeight="1" x14ac:dyDescent="0.25">
      <c r="A7" s="83"/>
      <c r="B7" s="104"/>
      <c r="C7" s="889"/>
      <c r="D7" s="646" t="s">
        <v>693</v>
      </c>
      <c r="E7" s="577" t="str">
        <f>+'Plant Overview'!W40</f>
        <v>U-300</v>
      </c>
      <c r="F7" s="214"/>
      <c r="G7" s="210"/>
      <c r="H7" s="398" t="s">
        <v>263</v>
      </c>
      <c r="J7" s="521"/>
      <c r="K7" s="522"/>
      <c r="L7" s="216" t="s">
        <v>465</v>
      </c>
      <c r="M7" s="525" t="s">
        <v>503</v>
      </c>
      <c r="O7" s="861"/>
      <c r="P7" s="862"/>
      <c r="Q7" s="862"/>
      <c r="R7" s="862"/>
      <c r="S7" s="863"/>
      <c r="T7" s="106"/>
      <c r="U7" s="104"/>
      <c r="V7" s="120"/>
      <c r="W7" s="120"/>
      <c r="X7" s="112"/>
      <c r="Y7" s="112"/>
      <c r="Z7" s="112"/>
      <c r="AA7" s="112"/>
      <c r="AB7" s="112"/>
      <c r="AC7" s="112"/>
      <c r="AD7" s="112"/>
      <c r="AE7" s="112"/>
      <c r="AF7" s="112"/>
      <c r="AG7" s="112"/>
      <c r="AH7" s="113"/>
      <c r="AI7" s="113"/>
      <c r="AJ7" s="437"/>
    </row>
    <row r="8" spans="1:36" ht="18.600000000000001" customHeight="1" x14ac:dyDescent="0.25">
      <c r="A8" s="83"/>
      <c r="B8" s="104"/>
      <c r="C8" s="904"/>
      <c r="D8" s="899" t="s">
        <v>312</v>
      </c>
      <c r="E8" s="895"/>
      <c r="F8" s="215"/>
      <c r="G8" s="95"/>
      <c r="H8" s="478" t="s">
        <v>264</v>
      </c>
      <c r="J8" s="521"/>
      <c r="K8" s="522"/>
      <c r="L8" s="216" t="s">
        <v>466</v>
      </c>
      <c r="M8" s="525" t="s">
        <v>501</v>
      </c>
      <c r="O8" s="861"/>
      <c r="P8" s="862"/>
      <c r="Q8" s="862"/>
      <c r="R8" s="862"/>
      <c r="S8" s="863"/>
      <c r="T8" s="106"/>
      <c r="U8" s="104"/>
      <c r="V8" s="120"/>
      <c r="W8" s="120"/>
      <c r="X8" s="112"/>
      <c r="Y8" s="112"/>
      <c r="Z8" s="112"/>
      <c r="AA8" s="112"/>
      <c r="AB8" s="112"/>
      <c r="AC8" s="112"/>
      <c r="AD8" s="112"/>
      <c r="AE8" s="112"/>
      <c r="AF8" s="112"/>
      <c r="AG8" s="112"/>
      <c r="AH8" s="113"/>
      <c r="AI8" s="113"/>
      <c r="AJ8" s="437"/>
    </row>
    <row r="9" spans="1:36" ht="18.600000000000001" customHeight="1" x14ac:dyDescent="0.25">
      <c r="A9" s="83"/>
      <c r="B9" s="104"/>
      <c r="C9" s="827"/>
      <c r="D9" s="900"/>
      <c r="E9" s="896"/>
      <c r="F9" s="215"/>
      <c r="G9" s="110"/>
      <c r="H9" s="624" t="s">
        <v>268</v>
      </c>
      <c r="J9" s="523"/>
      <c r="K9" s="524"/>
      <c r="L9" s="216" t="s">
        <v>467</v>
      </c>
      <c r="M9" s="525" t="s">
        <v>502</v>
      </c>
      <c r="O9" s="864"/>
      <c r="P9" s="865"/>
      <c r="Q9" s="865"/>
      <c r="R9" s="865"/>
      <c r="S9" s="866"/>
      <c r="T9" s="106"/>
      <c r="U9" s="104"/>
      <c r="V9" s="120"/>
      <c r="W9" s="120"/>
      <c r="X9" s="112"/>
      <c r="Y9" s="112"/>
      <c r="Z9" s="112"/>
      <c r="AA9" s="112"/>
      <c r="AB9" s="112"/>
      <c r="AC9" s="112"/>
      <c r="AD9" s="112"/>
      <c r="AE9" s="112"/>
      <c r="AF9" s="112"/>
      <c r="AG9" s="112"/>
      <c r="AH9" s="113"/>
      <c r="AI9" s="113"/>
      <c r="AJ9" s="437"/>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25">
      <c r="A11" s="83"/>
      <c r="B11" s="104"/>
      <c r="C11" s="105"/>
      <c r="D11" s="850" t="s">
        <v>508</v>
      </c>
      <c r="E11" s="851"/>
      <c r="F11" s="851"/>
      <c r="G11" s="851"/>
      <c r="H11" s="851"/>
      <c r="I11" s="851"/>
      <c r="J11" s="851"/>
      <c r="K11" s="850" t="s">
        <v>507</v>
      </c>
      <c r="L11" s="851"/>
      <c r="M11" s="851"/>
      <c r="N11" s="851"/>
      <c r="O11" s="852"/>
      <c r="P11" s="850" t="s">
        <v>510</v>
      </c>
      <c r="Q11" s="851"/>
      <c r="R11" s="852"/>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25">
      <c r="A12" s="83"/>
      <c r="B12" s="104"/>
      <c r="C12" s="576" t="s">
        <v>239</v>
      </c>
      <c r="D12" s="576" t="s">
        <v>499</v>
      </c>
      <c r="E12" s="576" t="s">
        <v>498</v>
      </c>
      <c r="F12" s="585" t="s">
        <v>464</v>
      </c>
      <c r="G12" s="585" t="s">
        <v>583</v>
      </c>
      <c r="H12" s="585" t="s">
        <v>509</v>
      </c>
      <c r="I12" s="576" t="s">
        <v>506</v>
      </c>
      <c r="J12" s="576" t="s">
        <v>235</v>
      </c>
      <c r="K12" s="564" t="s">
        <v>466</v>
      </c>
      <c r="L12" s="576" t="s">
        <v>467</v>
      </c>
      <c r="M12" s="574" t="s">
        <v>586</v>
      </c>
      <c r="N12" s="575" t="s">
        <v>469</v>
      </c>
      <c r="O12" s="570" t="s">
        <v>468</v>
      </c>
      <c r="P12" s="564" t="s">
        <v>465</v>
      </c>
      <c r="Q12" s="564" t="s">
        <v>471</v>
      </c>
      <c r="R12" s="574" t="s">
        <v>470</v>
      </c>
      <c r="S12" s="570"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25">
      <c r="A13" s="83"/>
      <c r="B13" s="104"/>
      <c r="C13" s="442"/>
      <c r="D13" s="476"/>
      <c r="E13" s="381"/>
      <c r="F13" s="381"/>
      <c r="G13" s="381"/>
      <c r="H13" s="381"/>
      <c r="I13" s="381"/>
      <c r="J13" s="382"/>
      <c r="K13" s="381"/>
      <c r="L13" s="484"/>
      <c r="M13" s="381"/>
      <c r="N13" s="221"/>
      <c r="O13" s="224"/>
      <c r="P13" s="223"/>
      <c r="Q13" s="381"/>
      <c r="R13" s="221" t="str">
        <f>+IF(C13="","",(P13/M13)^K13*O13*(Q13/(N13/M13))^L13)</f>
        <v/>
      </c>
      <c r="S13" s="49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25">
      <c r="A14" s="83"/>
      <c r="B14" s="104"/>
      <c r="C14" s="443"/>
      <c r="D14" s="440"/>
      <c r="E14" s="484"/>
      <c r="F14" s="484"/>
      <c r="G14" s="484"/>
      <c r="H14" s="484"/>
      <c r="I14" s="484"/>
      <c r="J14" s="394"/>
      <c r="K14" s="484"/>
      <c r="L14" s="484"/>
      <c r="M14" s="484"/>
      <c r="N14" s="395"/>
      <c r="O14" s="395"/>
      <c r="P14" s="172"/>
      <c r="Q14" s="484"/>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25">
      <c r="A15" s="83"/>
      <c r="B15" s="104"/>
      <c r="C15" s="443"/>
      <c r="D15" s="440"/>
      <c r="E15" s="484"/>
      <c r="F15" s="484"/>
      <c r="G15" s="484"/>
      <c r="H15" s="484"/>
      <c r="I15" s="484"/>
      <c r="J15" s="394"/>
      <c r="K15" s="484"/>
      <c r="L15" s="484"/>
      <c r="M15" s="484"/>
      <c r="N15" s="395"/>
      <c r="O15" s="484"/>
      <c r="P15" s="440"/>
      <c r="Q15" s="484"/>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25">
      <c r="A16" s="83"/>
      <c r="B16" s="104"/>
      <c r="C16" s="443"/>
      <c r="D16" s="440"/>
      <c r="E16" s="484"/>
      <c r="F16" s="484"/>
      <c r="G16" s="484"/>
      <c r="H16" s="484"/>
      <c r="I16" s="484"/>
      <c r="J16" s="394"/>
      <c r="K16" s="484"/>
      <c r="L16" s="484"/>
      <c r="M16" s="484"/>
      <c r="N16" s="92"/>
      <c r="O16" s="484"/>
      <c r="P16" s="440"/>
      <c r="Q16" s="484"/>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25">
      <c r="A17" s="83"/>
      <c r="B17" s="104"/>
      <c r="C17" s="443"/>
      <c r="D17" s="440"/>
      <c r="E17" s="484"/>
      <c r="F17" s="484"/>
      <c r="G17" s="484"/>
      <c r="H17" s="484"/>
      <c r="I17" s="484"/>
      <c r="J17" s="394"/>
      <c r="K17" s="92"/>
      <c r="L17" s="92"/>
      <c r="M17" s="484"/>
      <c r="N17" s="92"/>
      <c r="O17" s="92"/>
      <c r="P17" s="91"/>
      <c r="Q17" s="484"/>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25">
      <c r="A18" s="83"/>
      <c r="B18" s="104"/>
      <c r="C18" s="443"/>
      <c r="D18" s="440"/>
      <c r="E18" s="484"/>
      <c r="F18" s="484"/>
      <c r="G18" s="484"/>
      <c r="H18" s="484"/>
      <c r="I18" s="484"/>
      <c r="J18" s="394"/>
      <c r="K18" s="92"/>
      <c r="L18" s="92"/>
      <c r="M18" s="484"/>
      <c r="N18" s="92"/>
      <c r="O18" s="484"/>
      <c r="P18" s="440"/>
      <c r="Q18" s="484"/>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25">
      <c r="A19" s="83"/>
      <c r="B19" s="104"/>
      <c r="C19" s="443"/>
      <c r="D19" s="440"/>
      <c r="E19" s="484"/>
      <c r="F19" s="484"/>
      <c r="G19" s="484"/>
      <c r="H19" s="484"/>
      <c r="I19" s="484"/>
      <c r="J19" s="394"/>
      <c r="K19" s="92"/>
      <c r="L19" s="92"/>
      <c r="M19" s="484"/>
      <c r="N19" s="484"/>
      <c r="O19" s="484"/>
      <c r="P19" s="440"/>
      <c r="Q19" s="484"/>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25">
      <c r="A20" s="83"/>
      <c r="B20" s="104"/>
      <c r="C20" s="443"/>
      <c r="D20" s="440"/>
      <c r="E20" s="484"/>
      <c r="F20" s="484"/>
      <c r="G20" s="484"/>
      <c r="H20" s="484"/>
      <c r="I20" s="484"/>
      <c r="J20" s="394"/>
      <c r="K20" s="92"/>
      <c r="L20" s="92"/>
      <c r="M20" s="484"/>
      <c r="N20" s="484"/>
      <c r="O20" s="484"/>
      <c r="P20" s="440"/>
      <c r="Q20" s="484"/>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25">
      <c r="A21" s="83"/>
      <c r="B21" s="104"/>
      <c r="C21" s="443"/>
      <c r="D21" s="91"/>
      <c r="E21" s="484"/>
      <c r="F21" s="484"/>
      <c r="G21" s="484"/>
      <c r="H21" s="484"/>
      <c r="I21" s="484"/>
      <c r="J21" s="394"/>
      <c r="K21" s="484"/>
      <c r="L21" s="484"/>
      <c r="M21" s="484"/>
      <c r="N21" s="484"/>
      <c r="O21" s="484"/>
      <c r="P21" s="440"/>
      <c r="Q21" s="484"/>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25">
      <c r="A22" s="83"/>
      <c r="B22" s="104"/>
      <c r="C22" s="443"/>
      <c r="D22" s="440"/>
      <c r="E22" s="484"/>
      <c r="F22" s="484"/>
      <c r="G22" s="484"/>
      <c r="H22" s="484"/>
      <c r="I22" s="484"/>
      <c r="J22" s="394"/>
      <c r="K22" s="484"/>
      <c r="L22" s="484"/>
      <c r="M22" s="484"/>
      <c r="N22" s="484"/>
      <c r="O22" s="484"/>
      <c r="P22" s="440"/>
      <c r="Q22" s="484"/>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25">
      <c r="A23" s="83"/>
      <c r="B23" s="104"/>
      <c r="C23" s="443"/>
      <c r="D23" s="440"/>
      <c r="E23" s="484"/>
      <c r="F23" s="484"/>
      <c r="G23" s="484"/>
      <c r="H23" s="484"/>
      <c r="I23" s="484"/>
      <c r="J23" s="394"/>
      <c r="K23" s="484"/>
      <c r="L23" s="484"/>
      <c r="M23" s="484"/>
      <c r="N23" s="484"/>
      <c r="O23" s="484"/>
      <c r="P23" s="440"/>
      <c r="Q23" s="484"/>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25">
      <c r="A24" s="83"/>
      <c r="B24" s="104"/>
      <c r="C24" s="443"/>
      <c r="D24" s="440"/>
      <c r="E24" s="484"/>
      <c r="F24" s="484"/>
      <c r="G24" s="484"/>
      <c r="H24" s="484"/>
      <c r="I24" s="484"/>
      <c r="J24" s="394"/>
      <c r="K24" s="484"/>
      <c r="L24" s="484"/>
      <c r="M24" s="484"/>
      <c r="N24" s="484"/>
      <c r="O24" s="484"/>
      <c r="P24" s="440"/>
      <c r="Q24" s="484"/>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25">
      <c r="A25" s="83"/>
      <c r="B25" s="104"/>
      <c r="C25" s="443"/>
      <c r="D25" s="440"/>
      <c r="E25" s="484"/>
      <c r="F25" s="484"/>
      <c r="G25" s="484"/>
      <c r="H25" s="484"/>
      <c r="I25" s="484"/>
      <c r="J25" s="394"/>
      <c r="K25" s="484"/>
      <c r="L25" s="484"/>
      <c r="M25" s="484"/>
      <c r="N25" s="484"/>
      <c r="O25" s="484"/>
      <c r="P25" s="440"/>
      <c r="Q25" s="484"/>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25">
      <c r="A26" s="83"/>
      <c r="B26" s="104"/>
      <c r="C26" s="443"/>
      <c r="D26" s="440"/>
      <c r="E26" s="484"/>
      <c r="F26" s="484"/>
      <c r="G26" s="484"/>
      <c r="H26" s="484"/>
      <c r="I26" s="484"/>
      <c r="J26" s="394"/>
      <c r="K26" s="484"/>
      <c r="L26" s="484"/>
      <c r="M26" s="484"/>
      <c r="N26" s="484"/>
      <c r="O26" s="484"/>
      <c r="P26" s="440"/>
      <c r="Q26" s="484"/>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25">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25">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25">
      <c r="A29" s="83"/>
      <c r="B29" s="104"/>
      <c r="C29" s="443"/>
      <c r="D29" s="440"/>
      <c r="E29" s="484"/>
      <c r="F29" s="484"/>
      <c r="G29" s="484"/>
      <c r="H29" s="484"/>
      <c r="I29" s="484"/>
      <c r="J29" s="394"/>
      <c r="K29" s="385"/>
      <c r="L29" s="385"/>
      <c r="M29" s="385"/>
      <c r="N29" s="385"/>
      <c r="O29" s="385"/>
      <c r="P29" s="489"/>
      <c r="Q29" s="483"/>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25">
      <c r="A30" s="83"/>
      <c r="B30" s="104"/>
      <c r="C30" s="443"/>
      <c r="D30" s="440"/>
      <c r="E30" s="484"/>
      <c r="F30" s="484"/>
      <c r="G30" s="484"/>
      <c r="H30" s="484"/>
      <c r="I30" s="484"/>
      <c r="J30" s="394"/>
      <c r="K30" s="385"/>
      <c r="L30" s="385"/>
      <c r="M30" s="385"/>
      <c r="N30" s="385"/>
      <c r="O30" s="385"/>
      <c r="P30" s="489"/>
      <c r="Q30" s="483"/>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25">
      <c r="A31" s="83"/>
      <c r="B31" s="104"/>
      <c r="C31" s="443"/>
      <c r="D31" s="440"/>
      <c r="E31" s="484"/>
      <c r="F31" s="484"/>
      <c r="G31" s="484"/>
      <c r="H31" s="484"/>
      <c r="I31" s="484"/>
      <c r="J31" s="394"/>
      <c r="K31" s="385"/>
      <c r="L31" s="385"/>
      <c r="M31" s="385"/>
      <c r="N31" s="385"/>
      <c r="O31" s="385"/>
      <c r="P31" s="489"/>
      <c r="Q31" s="483"/>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25">
      <c r="A32" s="83"/>
      <c r="B32" s="104"/>
      <c r="C32" s="443"/>
      <c r="D32" s="440"/>
      <c r="E32" s="484"/>
      <c r="F32" s="484"/>
      <c r="G32" s="484"/>
      <c r="H32" s="484"/>
      <c r="I32" s="484"/>
      <c r="J32" s="394"/>
      <c r="K32" s="385"/>
      <c r="L32" s="385"/>
      <c r="M32" s="385"/>
      <c r="N32" s="385"/>
      <c r="O32" s="385"/>
      <c r="P32" s="489"/>
      <c r="Q32" s="483"/>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25">
      <c r="A33" s="83"/>
      <c r="B33" s="104"/>
      <c r="C33" s="443"/>
      <c r="D33" s="440"/>
      <c r="E33" s="484"/>
      <c r="F33" s="484"/>
      <c r="G33" s="484"/>
      <c r="H33" s="484"/>
      <c r="I33" s="484"/>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25">
      <c r="A34" s="83"/>
      <c r="B34" s="104"/>
      <c r="C34" s="444"/>
      <c r="D34" s="403"/>
      <c r="E34" s="222"/>
      <c r="F34" s="222"/>
      <c r="G34" s="484"/>
      <c r="H34" s="484"/>
      <c r="I34" s="484"/>
      <c r="J34" s="394"/>
      <c r="K34" s="484"/>
      <c r="L34" s="92"/>
      <c r="M34" s="445"/>
      <c r="N34" s="445"/>
      <c r="O34" s="445"/>
      <c r="P34" s="897"/>
      <c r="Q34" s="898"/>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25">
      <c r="A35" s="83"/>
      <c r="B35" s="104"/>
      <c r="C35" s="407"/>
      <c r="D35" s="408"/>
      <c r="E35" s="408"/>
      <c r="F35" s="408"/>
      <c r="G35" s="408"/>
      <c r="H35" s="408"/>
      <c r="I35" s="408"/>
      <c r="J35" s="408"/>
      <c r="K35" s="408"/>
      <c r="L35" s="408"/>
      <c r="M35" s="408"/>
      <c r="N35" s="408"/>
      <c r="O35" s="408"/>
      <c r="P35" s="408"/>
      <c r="Q35" s="408"/>
      <c r="R35" s="409"/>
      <c r="S35" s="571"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25">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25">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25">
      <c r="A39" s="83"/>
      <c r="B39" s="850" t="s">
        <v>597</v>
      </c>
      <c r="C39" s="851"/>
      <c r="D39" s="851"/>
      <c r="E39" s="851"/>
      <c r="F39" s="851"/>
      <c r="G39" s="850" t="s">
        <v>636</v>
      </c>
      <c r="H39" s="851"/>
      <c r="I39" s="851"/>
      <c r="J39" s="852"/>
      <c r="K39" s="850" t="s">
        <v>635</v>
      </c>
      <c r="L39" s="851"/>
      <c r="M39" s="852"/>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25">
      <c r="A40" s="83"/>
      <c r="B40" s="101"/>
      <c r="C40" s="350"/>
      <c r="D40" s="333"/>
      <c r="E40" s="333"/>
      <c r="F40" s="125"/>
      <c r="G40" s="354"/>
      <c r="H40" s="350"/>
      <c r="I40" s="350"/>
      <c r="J40" s="355"/>
      <c r="K40" s="567" t="s">
        <v>589</v>
      </c>
      <c r="L40" s="814" t="s">
        <v>634</v>
      </c>
      <c r="M40" s="816"/>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25">
      <c r="A41" s="83"/>
      <c r="B41" s="104"/>
      <c r="C41" s="179"/>
      <c r="D41" s="92"/>
      <c r="E41" s="92"/>
      <c r="F41" s="84"/>
      <c r="G41" s="356"/>
      <c r="H41" s="179"/>
      <c r="I41" s="179"/>
      <c r="J41" s="351"/>
      <c r="K41" s="453" t="str">
        <f>+IF(C13="","",TEXT(C13,0))</f>
        <v/>
      </c>
      <c r="L41" s="905"/>
      <c r="M41" s="905"/>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25">
      <c r="A42" s="83"/>
      <c r="B42" s="104"/>
      <c r="C42" s="179"/>
      <c r="D42" s="92"/>
      <c r="E42" s="92"/>
      <c r="F42" s="84"/>
      <c r="G42" s="356"/>
      <c r="H42" s="179"/>
      <c r="I42" s="179"/>
      <c r="J42" s="351"/>
      <c r="K42" s="453"/>
      <c r="L42" s="905"/>
      <c r="M42" s="905"/>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25">
      <c r="A43" s="83"/>
      <c r="B43" s="104"/>
      <c r="C43" s="179"/>
      <c r="D43" s="92"/>
      <c r="E43" s="92"/>
      <c r="F43" s="84"/>
      <c r="G43" s="356"/>
      <c r="H43" s="179"/>
      <c r="I43" s="179"/>
      <c r="J43" s="351"/>
      <c r="K43" s="453"/>
      <c r="L43" s="905"/>
      <c r="M43" s="905"/>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25">
      <c r="A44" s="83"/>
      <c r="B44" s="104"/>
      <c r="C44" s="179"/>
      <c r="D44" s="92"/>
      <c r="E44" s="92"/>
      <c r="F44" s="84"/>
      <c r="G44" s="356"/>
      <c r="H44" s="179"/>
      <c r="I44" s="179"/>
      <c r="J44" s="351"/>
      <c r="K44" s="453"/>
      <c r="L44" s="905"/>
      <c r="M44" s="905"/>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25">
      <c r="A45" s="83"/>
      <c r="B45" s="104"/>
      <c r="C45" s="179"/>
      <c r="D45" s="92"/>
      <c r="E45" s="92"/>
      <c r="F45" s="84"/>
      <c r="G45" s="356"/>
      <c r="H45" s="179"/>
      <c r="I45" s="179"/>
      <c r="J45" s="179"/>
      <c r="K45" s="656"/>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25">
      <c r="A46" s="83"/>
      <c r="B46" s="104"/>
      <c r="C46" s="179"/>
      <c r="D46" s="92"/>
      <c r="E46" s="92"/>
      <c r="F46" s="84"/>
      <c r="G46" s="356"/>
      <c r="H46" s="179"/>
      <c r="I46" s="179"/>
      <c r="J46" s="179"/>
      <c r="K46" s="657"/>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25">
      <c r="A47" s="83"/>
      <c r="B47" s="104"/>
      <c r="C47" s="179"/>
      <c r="D47" s="92"/>
      <c r="E47" s="92"/>
      <c r="F47" s="84"/>
      <c r="G47" s="356"/>
      <c r="H47" s="179"/>
      <c r="I47" s="179"/>
      <c r="J47" s="179"/>
      <c r="K47" s="657"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25">
      <c r="A48" s="83"/>
      <c r="B48" s="104"/>
      <c r="C48" s="179"/>
      <c r="D48" s="92"/>
      <c r="E48" s="92"/>
      <c r="F48" s="84"/>
      <c r="G48" s="356"/>
      <c r="H48" s="179"/>
      <c r="I48" s="179"/>
      <c r="J48" s="179"/>
      <c r="K48" s="657"/>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25">
      <c r="A49" s="83"/>
      <c r="B49" s="104"/>
      <c r="C49" s="179"/>
      <c r="D49" s="92"/>
      <c r="E49" s="92"/>
      <c r="F49" s="84"/>
      <c r="G49" s="356"/>
      <c r="H49" s="179"/>
      <c r="I49" s="179"/>
      <c r="J49" s="179"/>
      <c r="K49" s="657"/>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25">
      <c r="A50" s="83"/>
      <c r="B50" s="104"/>
      <c r="C50" s="179"/>
      <c r="D50" s="92"/>
      <c r="E50" s="92"/>
      <c r="F50" s="84"/>
      <c r="G50" s="356"/>
      <c r="H50" s="179"/>
      <c r="I50" s="179"/>
      <c r="J50" s="179"/>
      <c r="K50" s="657"/>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25">
      <c r="A51" s="83"/>
      <c r="B51" s="104"/>
      <c r="C51" s="179"/>
      <c r="D51" s="92"/>
      <c r="E51" s="92"/>
      <c r="F51" s="84"/>
      <c r="G51" s="356"/>
      <c r="H51" s="179"/>
      <c r="I51" s="179"/>
      <c r="J51" s="179"/>
      <c r="K51" s="657"/>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25">
      <c r="A52" s="83"/>
      <c r="B52" s="104"/>
      <c r="C52" s="179"/>
      <c r="D52" s="92"/>
      <c r="E52" s="92"/>
      <c r="F52" s="84"/>
      <c r="G52" s="356"/>
      <c r="H52" s="179"/>
      <c r="I52" s="179"/>
      <c r="J52" s="179"/>
      <c r="K52" s="657"/>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25">
      <c r="A53" s="83"/>
      <c r="B53" s="104"/>
      <c r="C53" s="179"/>
      <c r="D53" s="92"/>
      <c r="E53" s="92"/>
      <c r="F53" s="84"/>
      <c r="G53" s="356"/>
      <c r="H53" s="179"/>
      <c r="I53" s="179"/>
      <c r="J53" s="179"/>
      <c r="K53" s="658"/>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25">
      <c r="A54" s="83"/>
      <c r="B54" s="104"/>
      <c r="C54" s="179"/>
      <c r="D54" s="92"/>
      <c r="E54" s="92"/>
      <c r="F54" s="84"/>
      <c r="G54" s="356"/>
      <c r="H54" s="179"/>
      <c r="I54" s="179"/>
      <c r="J54" s="179"/>
      <c r="K54" s="658"/>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25">
      <c r="A55" s="83"/>
      <c r="B55" s="104"/>
      <c r="C55" s="179"/>
      <c r="D55" s="92"/>
      <c r="E55" s="92"/>
      <c r="F55" s="84"/>
      <c r="G55" s="356"/>
      <c r="H55" s="179"/>
      <c r="I55" s="179"/>
      <c r="J55" s="179"/>
      <c r="K55" s="658"/>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25">
      <c r="A56" s="83"/>
      <c r="B56" s="104"/>
      <c r="C56" s="179"/>
      <c r="D56" s="92"/>
      <c r="E56" s="92"/>
      <c r="F56" s="84"/>
      <c r="G56" s="356"/>
      <c r="H56" s="179"/>
      <c r="I56" s="179"/>
      <c r="J56" s="179"/>
      <c r="K56" s="658"/>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25">
      <c r="A57" s="83"/>
      <c r="B57" s="104"/>
      <c r="C57" s="179"/>
      <c r="D57" s="179"/>
      <c r="E57" s="179"/>
      <c r="F57" s="351"/>
      <c r="G57" s="356"/>
      <c r="H57" s="179"/>
      <c r="I57" s="179"/>
      <c r="J57" s="179"/>
      <c r="K57" s="658"/>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25">
      <c r="A58" s="83"/>
      <c r="B58" s="104"/>
      <c r="C58" s="179"/>
      <c r="D58" s="179"/>
      <c r="E58" s="179"/>
      <c r="F58" s="351"/>
      <c r="G58" s="356"/>
      <c r="H58" s="179"/>
      <c r="I58" s="179"/>
      <c r="J58" s="179"/>
      <c r="K58" s="658"/>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25">
      <c r="A59" s="83"/>
      <c r="B59" s="104"/>
      <c r="C59" s="179"/>
      <c r="D59" s="179"/>
      <c r="E59" s="179"/>
      <c r="F59" s="351"/>
      <c r="G59" s="356"/>
      <c r="H59" s="179"/>
      <c r="I59" s="179"/>
      <c r="J59" s="179"/>
      <c r="K59" s="658"/>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25">
      <c r="A60" s="83"/>
      <c r="B60" s="104"/>
      <c r="C60" s="179"/>
      <c r="D60" s="179"/>
      <c r="E60" s="179"/>
      <c r="F60" s="351"/>
      <c r="G60" s="356"/>
      <c r="H60" s="179"/>
      <c r="I60" s="179"/>
      <c r="J60" s="179"/>
      <c r="K60" s="658"/>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25">
      <c r="A61" s="83"/>
      <c r="B61" s="104"/>
      <c r="C61" s="179"/>
      <c r="D61" s="179"/>
      <c r="E61" s="179"/>
      <c r="F61" s="351"/>
      <c r="G61" s="356"/>
      <c r="H61" s="179"/>
      <c r="I61" s="179"/>
      <c r="J61" s="179"/>
      <c r="K61" s="658"/>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25">
      <c r="A62" s="83"/>
      <c r="B62" s="104"/>
      <c r="C62" s="179"/>
      <c r="D62" s="179"/>
      <c r="E62" s="179"/>
      <c r="F62" s="351"/>
      <c r="G62" s="356"/>
      <c r="H62" s="179"/>
      <c r="I62" s="179"/>
      <c r="J62" s="179"/>
      <c r="K62" s="658"/>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25">
      <c r="A63" s="83"/>
      <c r="B63" s="104"/>
      <c r="C63" s="179"/>
      <c r="D63" s="179"/>
      <c r="E63" s="179"/>
      <c r="F63" s="351"/>
      <c r="G63" s="356"/>
      <c r="H63" s="179"/>
      <c r="I63" s="179"/>
      <c r="J63" s="179"/>
      <c r="K63" s="658"/>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25">
      <c r="A64" s="83"/>
      <c r="B64" s="104"/>
      <c r="C64" s="179"/>
      <c r="D64" s="179"/>
      <c r="E64" s="179"/>
      <c r="F64" s="351"/>
      <c r="G64" s="88" t="s">
        <v>707</v>
      </c>
      <c r="H64" s="88" t="s">
        <v>360</v>
      </c>
      <c r="I64" s="903" t="s">
        <v>580</v>
      </c>
      <c r="J64" s="903"/>
      <c r="K64" s="658"/>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25">
      <c r="A65" s="83"/>
      <c r="B65" s="107"/>
      <c r="C65" s="352"/>
      <c r="D65" s="352"/>
      <c r="E65" s="352"/>
      <c r="F65" s="353"/>
      <c r="G65" s="687"/>
      <c r="H65" s="687"/>
      <c r="I65" s="901"/>
      <c r="J65" s="902"/>
      <c r="K65" s="659"/>
      <c r="L65" s="660"/>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25">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25">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L44:M44"/>
    <mergeCell ref="K39:M39"/>
    <mergeCell ref="L40:M40"/>
    <mergeCell ref="L41:M41"/>
    <mergeCell ref="L42:M42"/>
    <mergeCell ref="L43:M43"/>
    <mergeCell ref="I65:J65"/>
    <mergeCell ref="C3:F3"/>
    <mergeCell ref="B39:F39"/>
    <mergeCell ref="G39:J39"/>
    <mergeCell ref="I64:J64"/>
    <mergeCell ref="C6:C7"/>
    <mergeCell ref="C8:C9"/>
    <mergeCell ref="P34:Q34"/>
    <mergeCell ref="D8:D9"/>
    <mergeCell ref="E8:E9"/>
    <mergeCell ref="D11:J11"/>
    <mergeCell ref="K11:O11"/>
    <mergeCell ref="P11:R11"/>
    <mergeCell ref="O5:S5"/>
    <mergeCell ref="O6:S9"/>
    <mergeCell ref="W3:AH3"/>
    <mergeCell ref="D5:E5"/>
    <mergeCell ref="G3:H3"/>
    <mergeCell ref="J3:M3"/>
    <mergeCell ref="O3:S3"/>
    <mergeCell ref="G5:H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O59" sqref="O59"/>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50" t="s">
        <v>270</v>
      </c>
      <c r="D3" s="851"/>
      <c r="E3" s="851"/>
      <c r="F3" s="852"/>
      <c r="G3" s="850" t="s">
        <v>341</v>
      </c>
      <c r="H3" s="852"/>
      <c r="J3" s="850" t="s">
        <v>500</v>
      </c>
      <c r="K3" s="851"/>
      <c r="L3" s="851"/>
      <c r="M3" s="852"/>
      <c r="O3" s="850" t="str">
        <f>+E6</f>
        <v>Unit 4</v>
      </c>
      <c r="P3" s="851"/>
      <c r="Q3" s="851"/>
      <c r="R3" s="851"/>
      <c r="S3" s="852"/>
      <c r="T3" s="106"/>
      <c r="U3" s="104"/>
      <c r="V3" s="120"/>
      <c r="W3" s="841" t="str">
        <f>+E6&amp;" Diagram"</f>
        <v>Unit 4 Diagram</v>
      </c>
      <c r="X3" s="842"/>
      <c r="Y3" s="842"/>
      <c r="Z3" s="842"/>
      <c r="AA3" s="842"/>
      <c r="AB3" s="842"/>
      <c r="AC3" s="842"/>
      <c r="AD3" s="842"/>
      <c r="AE3" s="842"/>
      <c r="AF3" s="842"/>
      <c r="AG3" s="842"/>
      <c r="AH3" s="843"/>
      <c r="AI3" s="113"/>
      <c r="AJ3" s="437"/>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
      <c r="A5" s="83"/>
      <c r="B5" s="104"/>
      <c r="C5" s="105"/>
      <c r="D5" s="853" t="s">
        <v>265</v>
      </c>
      <c r="E5" s="854"/>
      <c r="F5" s="213"/>
      <c r="G5" s="853" t="s">
        <v>267</v>
      </c>
      <c r="H5" s="854"/>
      <c r="J5" s="626"/>
      <c r="K5" s="627"/>
      <c r="L5" s="216" t="s">
        <v>470</v>
      </c>
      <c r="M5" s="525" t="s">
        <v>504</v>
      </c>
      <c r="O5" s="814" t="s">
        <v>580</v>
      </c>
      <c r="P5" s="815"/>
      <c r="Q5" s="815"/>
      <c r="R5" s="815"/>
      <c r="S5" s="816"/>
      <c r="T5" s="106"/>
      <c r="U5" s="104"/>
      <c r="V5" s="120"/>
      <c r="W5" s="120"/>
      <c r="X5" s="112"/>
      <c r="Y5" s="112"/>
      <c r="Z5" s="112"/>
      <c r="AA5" s="112"/>
      <c r="AB5" s="112"/>
      <c r="AC5" s="112"/>
      <c r="AD5" s="112"/>
      <c r="AE5" s="112"/>
      <c r="AF5" s="112"/>
      <c r="AG5" s="112"/>
      <c r="AH5" s="113"/>
      <c r="AI5" s="113"/>
      <c r="AJ5" s="437"/>
    </row>
    <row r="6" spans="1:36" ht="18.600000000000001" customHeight="1" x14ac:dyDescent="0.25">
      <c r="A6" s="83"/>
      <c r="B6" s="104"/>
      <c r="C6" s="888" t="s">
        <v>496</v>
      </c>
      <c r="D6" s="646" t="s">
        <v>694</v>
      </c>
      <c r="E6" s="661" t="str">
        <f>+'Plant Overview'!V41</f>
        <v>Unit 4</v>
      </c>
      <c r="F6" s="214"/>
      <c r="G6" s="85"/>
      <c r="H6" s="398" t="s">
        <v>262</v>
      </c>
      <c r="J6" s="628"/>
      <c r="K6" s="629"/>
      <c r="L6" s="94" t="s">
        <v>471</v>
      </c>
      <c r="M6" s="86" t="s">
        <v>505</v>
      </c>
      <c r="O6" s="858"/>
      <c r="P6" s="859"/>
      <c r="Q6" s="859"/>
      <c r="R6" s="859"/>
      <c r="S6" s="860"/>
      <c r="T6" s="106"/>
      <c r="U6" s="104"/>
      <c r="V6" s="120"/>
      <c r="W6" s="120"/>
      <c r="X6" s="112"/>
      <c r="Y6" s="112"/>
      <c r="Z6" s="112"/>
      <c r="AA6" s="112"/>
      <c r="AB6" s="112"/>
      <c r="AC6" s="112"/>
      <c r="AD6" s="112"/>
      <c r="AE6" s="112"/>
      <c r="AF6" s="112"/>
      <c r="AG6" s="112"/>
      <c r="AH6" s="113"/>
      <c r="AI6" s="113"/>
      <c r="AJ6" s="437"/>
    </row>
    <row r="7" spans="1:36" ht="18.600000000000001" customHeight="1" x14ac:dyDescent="0.25">
      <c r="A7" s="83"/>
      <c r="B7" s="104"/>
      <c r="C7" s="889"/>
      <c r="D7" s="646" t="s">
        <v>693</v>
      </c>
      <c r="E7" s="577" t="str">
        <f>+'Plant Overview'!W41</f>
        <v>U-400</v>
      </c>
      <c r="F7" s="214"/>
      <c r="G7" s="210"/>
      <c r="H7" s="398" t="s">
        <v>263</v>
      </c>
      <c r="J7" s="628"/>
      <c r="K7" s="629"/>
      <c r="L7" s="216" t="s">
        <v>465</v>
      </c>
      <c r="M7" s="525" t="s">
        <v>503</v>
      </c>
      <c r="O7" s="861"/>
      <c r="P7" s="862"/>
      <c r="Q7" s="862"/>
      <c r="R7" s="862"/>
      <c r="S7" s="863"/>
      <c r="T7" s="106"/>
      <c r="U7" s="104"/>
      <c r="V7" s="120"/>
      <c r="W7" s="120"/>
      <c r="X7" s="112"/>
      <c r="Y7" s="112"/>
      <c r="Z7" s="112"/>
      <c r="AA7" s="112"/>
      <c r="AB7" s="112"/>
      <c r="AC7" s="112"/>
      <c r="AD7" s="112"/>
      <c r="AE7" s="112"/>
      <c r="AF7" s="112"/>
      <c r="AG7" s="112"/>
      <c r="AH7" s="113"/>
      <c r="AI7" s="113"/>
      <c r="AJ7" s="437"/>
    </row>
    <row r="8" spans="1:36" ht="18.600000000000001" customHeight="1" x14ac:dyDescent="0.25">
      <c r="A8" s="83"/>
      <c r="B8" s="104"/>
      <c r="C8" s="904"/>
      <c r="D8" s="899" t="s">
        <v>312</v>
      </c>
      <c r="E8" s="895"/>
      <c r="F8" s="215"/>
      <c r="G8" s="95"/>
      <c r="H8" s="478" t="s">
        <v>264</v>
      </c>
      <c r="J8" s="628"/>
      <c r="K8" s="629"/>
      <c r="L8" s="216" t="s">
        <v>466</v>
      </c>
      <c r="M8" s="525" t="s">
        <v>501</v>
      </c>
      <c r="O8" s="861"/>
      <c r="P8" s="862"/>
      <c r="Q8" s="862"/>
      <c r="R8" s="862"/>
      <c r="S8" s="863"/>
      <c r="T8" s="106"/>
      <c r="U8" s="104"/>
      <c r="V8" s="120"/>
      <c r="W8" s="120"/>
      <c r="X8" s="112"/>
      <c r="Y8" s="112"/>
      <c r="Z8" s="112"/>
      <c r="AA8" s="112"/>
      <c r="AB8" s="112"/>
      <c r="AC8" s="112"/>
      <c r="AD8" s="112"/>
      <c r="AE8" s="112"/>
      <c r="AF8" s="112"/>
      <c r="AG8" s="112"/>
      <c r="AH8" s="113"/>
      <c r="AI8" s="113"/>
      <c r="AJ8" s="437"/>
    </row>
    <row r="9" spans="1:36" ht="18.600000000000001" customHeight="1" x14ac:dyDescent="0.25">
      <c r="A9" s="83"/>
      <c r="B9" s="104"/>
      <c r="C9" s="827"/>
      <c r="D9" s="900"/>
      <c r="E9" s="896"/>
      <c r="F9" s="215"/>
      <c r="G9" s="110"/>
      <c r="H9" s="624" t="s">
        <v>268</v>
      </c>
      <c r="J9" s="630"/>
      <c r="K9" s="631"/>
      <c r="L9" s="216" t="s">
        <v>467</v>
      </c>
      <c r="M9" s="525" t="s">
        <v>502</v>
      </c>
      <c r="O9" s="864"/>
      <c r="P9" s="865"/>
      <c r="Q9" s="865"/>
      <c r="R9" s="865"/>
      <c r="S9" s="866"/>
      <c r="T9" s="106"/>
      <c r="U9" s="104"/>
      <c r="V9" s="120"/>
      <c r="W9" s="120"/>
      <c r="X9" s="112"/>
      <c r="Y9" s="112"/>
      <c r="Z9" s="112"/>
      <c r="AA9" s="112"/>
      <c r="AB9" s="112"/>
      <c r="AC9" s="112"/>
      <c r="AD9" s="112"/>
      <c r="AE9" s="112"/>
      <c r="AF9" s="112"/>
      <c r="AG9" s="112"/>
      <c r="AH9" s="113"/>
      <c r="AI9" s="113"/>
      <c r="AJ9" s="437"/>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25">
      <c r="A11" s="83"/>
      <c r="B11" s="104"/>
      <c r="C11" s="105"/>
      <c r="D11" s="850" t="s">
        <v>508</v>
      </c>
      <c r="E11" s="851"/>
      <c r="F11" s="851"/>
      <c r="G11" s="851"/>
      <c r="H11" s="851"/>
      <c r="I11" s="851"/>
      <c r="J11" s="851"/>
      <c r="K11" s="850" t="s">
        <v>507</v>
      </c>
      <c r="L11" s="851"/>
      <c r="M11" s="851"/>
      <c r="N11" s="851"/>
      <c r="O11" s="852"/>
      <c r="P11" s="850" t="s">
        <v>510</v>
      </c>
      <c r="Q11" s="851"/>
      <c r="R11" s="852"/>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25">
      <c r="A12" s="83"/>
      <c r="B12" s="104"/>
      <c r="C12" s="576" t="s">
        <v>239</v>
      </c>
      <c r="D12" s="576" t="s">
        <v>499</v>
      </c>
      <c r="E12" s="576" t="s">
        <v>498</v>
      </c>
      <c r="F12" s="585" t="s">
        <v>464</v>
      </c>
      <c r="G12" s="585" t="s">
        <v>583</v>
      </c>
      <c r="H12" s="585" t="s">
        <v>509</v>
      </c>
      <c r="I12" s="576" t="s">
        <v>506</v>
      </c>
      <c r="J12" s="576" t="s">
        <v>235</v>
      </c>
      <c r="K12" s="564" t="s">
        <v>466</v>
      </c>
      <c r="L12" s="576" t="s">
        <v>467</v>
      </c>
      <c r="M12" s="574" t="s">
        <v>586</v>
      </c>
      <c r="N12" s="575" t="s">
        <v>469</v>
      </c>
      <c r="O12" s="570" t="s">
        <v>468</v>
      </c>
      <c r="P12" s="564" t="s">
        <v>465</v>
      </c>
      <c r="Q12" s="564" t="s">
        <v>471</v>
      </c>
      <c r="R12" s="574" t="s">
        <v>470</v>
      </c>
      <c r="S12" s="570"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25">
      <c r="A13" s="83"/>
      <c r="B13" s="104"/>
      <c r="C13" s="442"/>
      <c r="D13" s="476"/>
      <c r="E13" s="381"/>
      <c r="F13" s="381"/>
      <c r="G13" s="381"/>
      <c r="H13" s="381"/>
      <c r="I13" s="381"/>
      <c r="J13" s="382"/>
      <c r="K13" s="381"/>
      <c r="L13" s="623"/>
      <c r="M13" s="381"/>
      <c r="N13" s="221"/>
      <c r="O13" s="224"/>
      <c r="P13" s="223"/>
      <c r="Q13" s="381"/>
      <c r="R13" s="221" t="str">
        <f>+IF(C13="","",(P13/M13)^K13*O13*(Q13/(N13/M13))^L13)</f>
        <v/>
      </c>
      <c r="S13" s="64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25">
      <c r="A14" s="83"/>
      <c r="B14" s="104"/>
      <c r="C14" s="443"/>
      <c r="D14" s="440"/>
      <c r="E14" s="623"/>
      <c r="F14" s="623"/>
      <c r="G14" s="623"/>
      <c r="H14" s="623"/>
      <c r="I14" s="623"/>
      <c r="J14" s="394"/>
      <c r="K14" s="623"/>
      <c r="L14" s="623"/>
      <c r="M14" s="623"/>
      <c r="N14" s="395"/>
      <c r="O14" s="395"/>
      <c r="P14" s="172"/>
      <c r="Q14" s="623"/>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25">
      <c r="A15" s="83"/>
      <c r="B15" s="104"/>
      <c r="C15" s="443"/>
      <c r="D15" s="440"/>
      <c r="E15" s="623"/>
      <c r="F15" s="623"/>
      <c r="G15" s="623"/>
      <c r="H15" s="623"/>
      <c r="I15" s="623"/>
      <c r="J15" s="394"/>
      <c r="K15" s="623"/>
      <c r="L15" s="623"/>
      <c r="M15" s="623"/>
      <c r="N15" s="395"/>
      <c r="O15" s="623"/>
      <c r="P15" s="440"/>
      <c r="Q15" s="623"/>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25">
      <c r="A16" s="83"/>
      <c r="B16" s="104"/>
      <c r="C16" s="443"/>
      <c r="D16" s="440"/>
      <c r="E16" s="623"/>
      <c r="F16" s="623"/>
      <c r="G16" s="623"/>
      <c r="H16" s="623"/>
      <c r="I16" s="623"/>
      <c r="J16" s="394"/>
      <c r="K16" s="623"/>
      <c r="L16" s="623"/>
      <c r="M16" s="623"/>
      <c r="N16" s="92"/>
      <c r="O16" s="623"/>
      <c r="P16" s="440"/>
      <c r="Q16" s="623"/>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25">
      <c r="A17" s="83"/>
      <c r="B17" s="104"/>
      <c r="C17" s="443"/>
      <c r="D17" s="440"/>
      <c r="E17" s="623"/>
      <c r="F17" s="623"/>
      <c r="G17" s="623"/>
      <c r="H17" s="623"/>
      <c r="I17" s="623"/>
      <c r="J17" s="394"/>
      <c r="K17" s="92"/>
      <c r="L17" s="92"/>
      <c r="M17" s="623"/>
      <c r="N17" s="92"/>
      <c r="O17" s="92"/>
      <c r="P17" s="91"/>
      <c r="Q17" s="623"/>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25">
      <c r="A18" s="83"/>
      <c r="B18" s="104"/>
      <c r="C18" s="443"/>
      <c r="D18" s="440"/>
      <c r="E18" s="623"/>
      <c r="F18" s="623"/>
      <c r="G18" s="623"/>
      <c r="H18" s="623"/>
      <c r="I18" s="623"/>
      <c r="J18" s="394"/>
      <c r="K18" s="92"/>
      <c r="L18" s="92"/>
      <c r="M18" s="623"/>
      <c r="N18" s="92"/>
      <c r="O18" s="623"/>
      <c r="P18" s="440"/>
      <c r="Q18" s="623"/>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25">
      <c r="A19" s="83"/>
      <c r="B19" s="104"/>
      <c r="C19" s="443"/>
      <c r="D19" s="440"/>
      <c r="E19" s="623"/>
      <c r="F19" s="623"/>
      <c r="G19" s="623"/>
      <c r="H19" s="623"/>
      <c r="I19" s="623"/>
      <c r="J19" s="394"/>
      <c r="K19" s="92"/>
      <c r="L19" s="92"/>
      <c r="M19" s="623"/>
      <c r="N19" s="623"/>
      <c r="O19" s="623"/>
      <c r="P19" s="440"/>
      <c r="Q19" s="623"/>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25">
      <c r="A20" s="83"/>
      <c r="B20" s="104"/>
      <c r="C20" s="443"/>
      <c r="D20" s="440"/>
      <c r="E20" s="623"/>
      <c r="F20" s="623"/>
      <c r="G20" s="623"/>
      <c r="H20" s="623"/>
      <c r="I20" s="623"/>
      <c r="J20" s="394"/>
      <c r="K20" s="92"/>
      <c r="L20" s="92"/>
      <c r="M20" s="623"/>
      <c r="N20" s="623"/>
      <c r="O20" s="623"/>
      <c r="P20" s="440"/>
      <c r="Q20" s="623"/>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25">
      <c r="A21" s="83"/>
      <c r="B21" s="104"/>
      <c r="C21" s="443"/>
      <c r="D21" s="91"/>
      <c r="E21" s="623"/>
      <c r="F21" s="623"/>
      <c r="G21" s="623"/>
      <c r="H21" s="623"/>
      <c r="I21" s="623"/>
      <c r="J21" s="394"/>
      <c r="K21" s="623"/>
      <c r="L21" s="623"/>
      <c r="M21" s="623"/>
      <c r="N21" s="623"/>
      <c r="O21" s="623"/>
      <c r="P21" s="440"/>
      <c r="Q21" s="623"/>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25">
      <c r="A22" s="83"/>
      <c r="B22" s="104"/>
      <c r="C22" s="443"/>
      <c r="D22" s="440"/>
      <c r="E22" s="623"/>
      <c r="F22" s="623"/>
      <c r="G22" s="623"/>
      <c r="H22" s="623"/>
      <c r="I22" s="623"/>
      <c r="J22" s="394"/>
      <c r="K22" s="623"/>
      <c r="L22" s="623"/>
      <c r="M22" s="623"/>
      <c r="N22" s="623"/>
      <c r="O22" s="623"/>
      <c r="P22" s="440"/>
      <c r="Q22" s="623"/>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25">
      <c r="A23" s="83"/>
      <c r="B23" s="104"/>
      <c r="C23" s="443"/>
      <c r="D23" s="440"/>
      <c r="E23" s="623"/>
      <c r="F23" s="623"/>
      <c r="G23" s="623"/>
      <c r="H23" s="623"/>
      <c r="I23" s="623"/>
      <c r="J23" s="394"/>
      <c r="K23" s="623"/>
      <c r="L23" s="623"/>
      <c r="M23" s="623"/>
      <c r="N23" s="623"/>
      <c r="O23" s="623"/>
      <c r="P23" s="440"/>
      <c r="Q23" s="623"/>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25">
      <c r="A24" s="83"/>
      <c r="B24" s="104"/>
      <c r="C24" s="443"/>
      <c r="D24" s="440"/>
      <c r="E24" s="623"/>
      <c r="F24" s="623"/>
      <c r="G24" s="623"/>
      <c r="H24" s="623"/>
      <c r="I24" s="623"/>
      <c r="J24" s="394"/>
      <c r="K24" s="623"/>
      <c r="L24" s="623"/>
      <c r="M24" s="623"/>
      <c r="N24" s="623"/>
      <c r="O24" s="623"/>
      <c r="P24" s="440"/>
      <c r="Q24" s="623"/>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25">
      <c r="A25" s="83"/>
      <c r="B25" s="104"/>
      <c r="C25" s="443"/>
      <c r="D25" s="440"/>
      <c r="E25" s="623"/>
      <c r="F25" s="623"/>
      <c r="G25" s="623"/>
      <c r="H25" s="623"/>
      <c r="I25" s="623"/>
      <c r="J25" s="394"/>
      <c r="K25" s="623"/>
      <c r="L25" s="623"/>
      <c r="M25" s="623"/>
      <c r="N25" s="623"/>
      <c r="O25" s="623"/>
      <c r="P25" s="440"/>
      <c r="Q25" s="623"/>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25">
      <c r="A26" s="83"/>
      <c r="B26" s="104"/>
      <c r="C26" s="443"/>
      <c r="D26" s="440"/>
      <c r="E26" s="623"/>
      <c r="F26" s="623"/>
      <c r="G26" s="623"/>
      <c r="H26" s="623"/>
      <c r="I26" s="623"/>
      <c r="J26" s="394"/>
      <c r="K26" s="623"/>
      <c r="L26" s="623"/>
      <c r="M26" s="623"/>
      <c r="N26" s="623"/>
      <c r="O26" s="623"/>
      <c r="P26" s="440"/>
      <c r="Q26" s="623"/>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25">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25">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25">
      <c r="A29" s="83"/>
      <c r="B29" s="104"/>
      <c r="C29" s="443"/>
      <c r="D29" s="440"/>
      <c r="E29" s="623"/>
      <c r="F29" s="623"/>
      <c r="G29" s="623"/>
      <c r="H29" s="623"/>
      <c r="I29" s="623"/>
      <c r="J29" s="394"/>
      <c r="K29" s="385"/>
      <c r="L29" s="385"/>
      <c r="M29" s="385"/>
      <c r="N29" s="385"/>
      <c r="O29" s="385"/>
      <c r="P29" s="621"/>
      <c r="Q29" s="622"/>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25">
      <c r="A30" s="83"/>
      <c r="B30" s="104"/>
      <c r="C30" s="443"/>
      <c r="D30" s="440"/>
      <c r="E30" s="623"/>
      <c r="F30" s="623"/>
      <c r="G30" s="623"/>
      <c r="H30" s="623"/>
      <c r="I30" s="623"/>
      <c r="J30" s="394"/>
      <c r="K30" s="385"/>
      <c r="L30" s="385"/>
      <c r="M30" s="385"/>
      <c r="N30" s="385"/>
      <c r="O30" s="385"/>
      <c r="P30" s="621"/>
      <c r="Q30" s="622"/>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25">
      <c r="A31" s="83"/>
      <c r="B31" s="104"/>
      <c r="C31" s="443"/>
      <c r="D31" s="440"/>
      <c r="E31" s="623"/>
      <c r="F31" s="623"/>
      <c r="G31" s="623"/>
      <c r="H31" s="623"/>
      <c r="I31" s="623"/>
      <c r="J31" s="394"/>
      <c r="K31" s="385"/>
      <c r="L31" s="385"/>
      <c r="M31" s="385"/>
      <c r="N31" s="385"/>
      <c r="O31" s="385"/>
      <c r="P31" s="621"/>
      <c r="Q31" s="622"/>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25">
      <c r="A32" s="83"/>
      <c r="B32" s="104"/>
      <c r="C32" s="443"/>
      <c r="D32" s="440"/>
      <c r="E32" s="623"/>
      <c r="F32" s="623"/>
      <c r="G32" s="623"/>
      <c r="H32" s="623"/>
      <c r="I32" s="623"/>
      <c r="J32" s="394"/>
      <c r="K32" s="385"/>
      <c r="L32" s="385"/>
      <c r="M32" s="385"/>
      <c r="N32" s="385"/>
      <c r="O32" s="385"/>
      <c r="P32" s="621"/>
      <c r="Q32" s="622"/>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25">
      <c r="A33" s="83"/>
      <c r="B33" s="104"/>
      <c r="C33" s="443"/>
      <c r="D33" s="440"/>
      <c r="E33" s="623"/>
      <c r="F33" s="623"/>
      <c r="G33" s="623"/>
      <c r="H33" s="623"/>
      <c r="I33" s="623"/>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25">
      <c r="A34" s="83"/>
      <c r="B34" s="104"/>
      <c r="C34" s="444"/>
      <c r="D34" s="403"/>
      <c r="E34" s="222"/>
      <c r="F34" s="222"/>
      <c r="G34" s="623"/>
      <c r="H34" s="623"/>
      <c r="I34" s="623"/>
      <c r="J34" s="394"/>
      <c r="K34" s="623"/>
      <c r="L34" s="92"/>
      <c r="M34" s="445"/>
      <c r="N34" s="445"/>
      <c r="O34" s="445"/>
      <c r="P34" s="897"/>
      <c r="Q34" s="898"/>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25">
      <c r="A35" s="83"/>
      <c r="B35" s="104"/>
      <c r="C35" s="407"/>
      <c r="D35" s="408"/>
      <c r="E35" s="408"/>
      <c r="F35" s="408"/>
      <c r="G35" s="408"/>
      <c r="H35" s="408"/>
      <c r="I35" s="408"/>
      <c r="J35" s="408"/>
      <c r="K35" s="408"/>
      <c r="L35" s="408"/>
      <c r="M35" s="408"/>
      <c r="N35" s="408"/>
      <c r="O35" s="408"/>
      <c r="P35" s="408"/>
      <c r="Q35" s="408"/>
      <c r="R35" s="409"/>
      <c r="S35" s="646"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25">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25">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25">
      <c r="A39" s="83"/>
      <c r="B39" s="850" t="s">
        <v>597</v>
      </c>
      <c r="C39" s="851"/>
      <c r="D39" s="851"/>
      <c r="E39" s="851"/>
      <c r="F39" s="851"/>
      <c r="G39" s="850" t="s">
        <v>636</v>
      </c>
      <c r="H39" s="851"/>
      <c r="I39" s="851"/>
      <c r="J39" s="852"/>
      <c r="K39" s="850" t="s">
        <v>635</v>
      </c>
      <c r="L39" s="851"/>
      <c r="M39" s="852"/>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25">
      <c r="A40" s="83"/>
      <c r="B40" s="101"/>
      <c r="C40" s="350"/>
      <c r="D40" s="333"/>
      <c r="E40" s="333"/>
      <c r="F40" s="125"/>
      <c r="G40" s="354"/>
      <c r="H40" s="350"/>
      <c r="I40" s="350"/>
      <c r="J40" s="355"/>
      <c r="K40" s="567" t="s">
        <v>589</v>
      </c>
      <c r="L40" s="814" t="s">
        <v>634</v>
      </c>
      <c r="M40" s="816"/>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25">
      <c r="A41" s="83"/>
      <c r="B41" s="104"/>
      <c r="C41" s="179"/>
      <c r="D41" s="92"/>
      <c r="E41" s="92"/>
      <c r="F41" s="84"/>
      <c r="G41" s="356"/>
      <c r="H41" s="179"/>
      <c r="I41" s="179"/>
      <c r="J41" s="351"/>
      <c r="K41" s="453" t="str">
        <f>+IF(C13="","",TEXT(C13,0))</f>
        <v/>
      </c>
      <c r="L41" s="905"/>
      <c r="M41" s="905"/>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25">
      <c r="A42" s="83"/>
      <c r="B42" s="104"/>
      <c r="C42" s="179"/>
      <c r="D42" s="92"/>
      <c r="E42" s="92"/>
      <c r="F42" s="84"/>
      <c r="G42" s="356"/>
      <c r="H42" s="179"/>
      <c r="I42" s="179"/>
      <c r="J42" s="351"/>
      <c r="K42" s="453"/>
      <c r="L42" s="905"/>
      <c r="M42" s="905"/>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25">
      <c r="A43" s="83"/>
      <c r="B43" s="104"/>
      <c r="C43" s="179"/>
      <c r="D43" s="92"/>
      <c r="E43" s="92"/>
      <c r="F43" s="84"/>
      <c r="G43" s="356"/>
      <c r="H43" s="179"/>
      <c r="I43" s="179"/>
      <c r="J43" s="351"/>
      <c r="K43" s="453"/>
      <c r="L43" s="905"/>
      <c r="M43" s="905"/>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25">
      <c r="A44" s="83"/>
      <c r="B44" s="104"/>
      <c r="C44" s="179"/>
      <c r="D44" s="92"/>
      <c r="E44" s="92"/>
      <c r="F44" s="84"/>
      <c r="G44" s="356"/>
      <c r="H44" s="179"/>
      <c r="I44" s="179"/>
      <c r="J44" s="351"/>
      <c r="K44" s="453"/>
      <c r="L44" s="905"/>
      <c r="M44" s="905"/>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25">
      <c r="A45" s="83"/>
      <c r="B45" s="104"/>
      <c r="C45" s="179"/>
      <c r="D45" s="92"/>
      <c r="E45" s="92"/>
      <c r="F45" s="84"/>
      <c r="G45" s="356"/>
      <c r="H45" s="179"/>
      <c r="I45" s="179"/>
      <c r="J45" s="179"/>
      <c r="K45" s="656"/>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25">
      <c r="A46" s="83"/>
      <c r="B46" s="104"/>
      <c r="C46" s="179"/>
      <c r="D46" s="92"/>
      <c r="E46" s="92"/>
      <c r="F46" s="84"/>
      <c r="G46" s="356"/>
      <c r="H46" s="179"/>
      <c r="I46" s="179"/>
      <c r="J46" s="179"/>
      <c r="K46" s="657"/>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25">
      <c r="A47" s="83"/>
      <c r="B47" s="104"/>
      <c r="C47" s="179"/>
      <c r="D47" s="92"/>
      <c r="E47" s="92"/>
      <c r="F47" s="84"/>
      <c r="G47" s="356"/>
      <c r="H47" s="179"/>
      <c r="I47" s="179"/>
      <c r="J47" s="179"/>
      <c r="K47" s="657"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25">
      <c r="A48" s="83"/>
      <c r="B48" s="104"/>
      <c r="C48" s="179"/>
      <c r="D48" s="92"/>
      <c r="E48" s="92"/>
      <c r="F48" s="84"/>
      <c r="G48" s="356"/>
      <c r="H48" s="179"/>
      <c r="I48" s="179"/>
      <c r="J48" s="179"/>
      <c r="K48" s="657"/>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25">
      <c r="A49" s="83"/>
      <c r="B49" s="104"/>
      <c r="C49" s="179"/>
      <c r="D49" s="92"/>
      <c r="E49" s="92"/>
      <c r="F49" s="84"/>
      <c r="G49" s="356"/>
      <c r="H49" s="179"/>
      <c r="I49" s="179"/>
      <c r="J49" s="179"/>
      <c r="K49" s="657"/>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25">
      <c r="A50" s="83"/>
      <c r="B50" s="104"/>
      <c r="C50" s="179"/>
      <c r="D50" s="92"/>
      <c r="E50" s="92"/>
      <c r="F50" s="84"/>
      <c r="G50" s="356"/>
      <c r="H50" s="179"/>
      <c r="I50" s="179"/>
      <c r="J50" s="179"/>
      <c r="K50" s="657"/>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25">
      <c r="A51" s="83"/>
      <c r="B51" s="104"/>
      <c r="C51" s="179"/>
      <c r="D51" s="92"/>
      <c r="E51" s="92"/>
      <c r="F51" s="84"/>
      <c r="G51" s="356"/>
      <c r="H51" s="179"/>
      <c r="I51" s="179"/>
      <c r="J51" s="179"/>
      <c r="K51" s="657"/>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25">
      <c r="A52" s="83"/>
      <c r="B52" s="104"/>
      <c r="C52" s="179"/>
      <c r="D52" s="92"/>
      <c r="E52" s="92"/>
      <c r="F52" s="84"/>
      <c r="G52" s="356"/>
      <c r="H52" s="179"/>
      <c r="I52" s="179"/>
      <c r="J52" s="179"/>
      <c r="K52" s="657"/>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25">
      <c r="A53" s="83"/>
      <c r="B53" s="104"/>
      <c r="C53" s="179"/>
      <c r="D53" s="92"/>
      <c r="E53" s="92"/>
      <c r="F53" s="84"/>
      <c r="G53" s="356"/>
      <c r="H53" s="179"/>
      <c r="I53" s="179"/>
      <c r="J53" s="179"/>
      <c r="K53" s="658"/>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25">
      <c r="A54" s="83"/>
      <c r="B54" s="104"/>
      <c r="C54" s="179"/>
      <c r="D54" s="92"/>
      <c r="E54" s="92"/>
      <c r="F54" s="84"/>
      <c r="G54" s="356"/>
      <c r="H54" s="179"/>
      <c r="I54" s="179"/>
      <c r="J54" s="179"/>
      <c r="K54" s="658"/>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25">
      <c r="A55" s="83"/>
      <c r="B55" s="104"/>
      <c r="C55" s="179"/>
      <c r="D55" s="92"/>
      <c r="E55" s="92"/>
      <c r="F55" s="84"/>
      <c r="G55" s="356"/>
      <c r="H55" s="179"/>
      <c r="I55" s="179"/>
      <c r="J55" s="179"/>
      <c r="K55" s="658"/>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25">
      <c r="A56" s="83"/>
      <c r="B56" s="104"/>
      <c r="C56" s="179"/>
      <c r="D56" s="92"/>
      <c r="E56" s="92"/>
      <c r="F56" s="84"/>
      <c r="G56" s="356"/>
      <c r="H56" s="179"/>
      <c r="I56" s="179"/>
      <c r="J56" s="179"/>
      <c r="K56" s="658"/>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25">
      <c r="A57" s="83"/>
      <c r="B57" s="104"/>
      <c r="C57" s="179"/>
      <c r="D57" s="179"/>
      <c r="E57" s="179"/>
      <c r="F57" s="351"/>
      <c r="G57" s="356"/>
      <c r="H57" s="179"/>
      <c r="I57" s="179"/>
      <c r="J57" s="179"/>
      <c r="K57" s="658"/>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25">
      <c r="A58" s="83"/>
      <c r="B58" s="104"/>
      <c r="C58" s="179"/>
      <c r="D58" s="179"/>
      <c r="E58" s="179"/>
      <c r="F58" s="351"/>
      <c r="G58" s="356"/>
      <c r="H58" s="179"/>
      <c r="I58" s="179"/>
      <c r="J58" s="179"/>
      <c r="K58" s="658"/>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25">
      <c r="A59" s="83"/>
      <c r="B59" s="104"/>
      <c r="C59" s="179"/>
      <c r="D59" s="179"/>
      <c r="E59" s="179"/>
      <c r="F59" s="351"/>
      <c r="G59" s="356"/>
      <c r="H59" s="179"/>
      <c r="I59" s="179"/>
      <c r="J59" s="179"/>
      <c r="K59" s="658"/>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25">
      <c r="A60" s="83"/>
      <c r="B60" s="104"/>
      <c r="C60" s="179"/>
      <c r="D60" s="179"/>
      <c r="E60" s="179"/>
      <c r="F60" s="351"/>
      <c r="G60" s="356"/>
      <c r="H60" s="179"/>
      <c r="I60" s="179"/>
      <c r="J60" s="179"/>
      <c r="K60" s="658"/>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25">
      <c r="A61" s="83"/>
      <c r="B61" s="104"/>
      <c r="C61" s="179"/>
      <c r="D61" s="179"/>
      <c r="E61" s="179"/>
      <c r="F61" s="351"/>
      <c r="G61" s="356"/>
      <c r="H61" s="179"/>
      <c r="I61" s="179"/>
      <c r="J61" s="179"/>
      <c r="K61" s="658"/>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25">
      <c r="A62" s="83"/>
      <c r="B62" s="104"/>
      <c r="C62" s="179"/>
      <c r="D62" s="179"/>
      <c r="E62" s="179"/>
      <c r="F62" s="351"/>
      <c r="G62" s="356"/>
      <c r="H62" s="179"/>
      <c r="I62" s="179"/>
      <c r="J62" s="179"/>
      <c r="K62" s="658"/>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25">
      <c r="A63" s="83"/>
      <c r="B63" s="104"/>
      <c r="C63" s="179"/>
      <c r="D63" s="179"/>
      <c r="E63" s="179"/>
      <c r="F63" s="351"/>
      <c r="G63" s="356"/>
      <c r="H63" s="179"/>
      <c r="I63" s="179"/>
      <c r="J63" s="179"/>
      <c r="K63" s="658"/>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25">
      <c r="A64" s="83"/>
      <c r="B64" s="104"/>
      <c r="C64" s="179"/>
      <c r="D64" s="179"/>
      <c r="E64" s="179"/>
      <c r="F64" s="351"/>
      <c r="G64" s="88" t="s">
        <v>707</v>
      </c>
      <c r="H64" s="88" t="s">
        <v>360</v>
      </c>
      <c r="I64" s="903" t="s">
        <v>580</v>
      </c>
      <c r="J64" s="903"/>
      <c r="K64" s="658"/>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25">
      <c r="A65" s="83"/>
      <c r="B65" s="107"/>
      <c r="C65" s="352"/>
      <c r="D65" s="352"/>
      <c r="E65" s="352"/>
      <c r="F65" s="353"/>
      <c r="G65" s="687"/>
      <c r="H65" s="687"/>
      <c r="I65" s="901"/>
      <c r="J65" s="902"/>
      <c r="K65" s="659"/>
      <c r="L65" s="660"/>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25">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25">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C3:F3"/>
    <mergeCell ref="G3:H3"/>
    <mergeCell ref="J3:M3"/>
    <mergeCell ref="O3:S3"/>
    <mergeCell ref="K39:M39"/>
    <mergeCell ref="D5:E5"/>
    <mergeCell ref="G5:H5"/>
    <mergeCell ref="C6:C7"/>
    <mergeCell ref="C8:C9"/>
    <mergeCell ref="D8:D9"/>
    <mergeCell ref="E8:E9"/>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85" zoomScaleNormal="85" workbookViewId="0">
      <selection activeCell="I28" sqref="I28"/>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728" t="s">
        <v>574</v>
      </c>
      <c r="C1" s="83"/>
      <c r="D1" s="83"/>
      <c r="E1" s="83"/>
      <c r="F1" s="83"/>
      <c r="G1" s="83"/>
      <c r="H1" s="83"/>
      <c r="I1" s="105"/>
      <c r="J1" s="105"/>
      <c r="K1" s="105"/>
      <c r="L1" s="83"/>
      <c r="M1" s="83"/>
      <c r="N1" s="83"/>
      <c r="O1" s="83"/>
    </row>
    <row r="2" spans="1:15" ht="24" customHeight="1" x14ac:dyDescent="0.25">
      <c r="B2" s="292"/>
      <c r="C2" s="292"/>
      <c r="D2" s="292"/>
      <c r="E2" s="292"/>
      <c r="F2" s="292"/>
      <c r="G2" s="292"/>
      <c r="H2" s="292"/>
      <c r="I2" s="455"/>
      <c r="J2" s="455"/>
      <c r="K2" s="455"/>
      <c r="L2" s="83"/>
      <c r="M2" s="83"/>
      <c r="N2" s="174"/>
      <c r="O2" s="174"/>
    </row>
    <row r="3" spans="1:15" ht="38.450000000000003" customHeight="1" x14ac:dyDescent="0.25">
      <c r="A3" s="83"/>
      <c r="B3" s="587" t="s">
        <v>462</v>
      </c>
      <c r="C3" s="588" t="s">
        <v>463</v>
      </c>
      <c r="D3" s="586" t="s">
        <v>670</v>
      </c>
      <c r="E3" s="586" t="s">
        <v>671</v>
      </c>
      <c r="F3" s="586" t="s">
        <v>699</v>
      </c>
      <c r="G3" s="586" t="s">
        <v>700</v>
      </c>
      <c r="H3" s="586" t="s">
        <v>441</v>
      </c>
      <c r="I3" s="174"/>
      <c r="J3" s="92"/>
      <c r="K3" s="92"/>
    </row>
    <row r="4" spans="1:15" ht="38.450000000000003" customHeight="1" x14ac:dyDescent="0.25">
      <c r="A4" s="83"/>
      <c r="B4" s="87" t="s">
        <v>682</v>
      </c>
      <c r="C4" s="555" t="s">
        <v>356</v>
      </c>
      <c r="D4" s="556" t="str">
        <f>+'Unit-100'!E6</f>
        <v>Unit 1</v>
      </c>
      <c r="E4" s="556" t="str">
        <f>+'Unit-200'!E6</f>
        <v>Unit 2</v>
      </c>
      <c r="F4" s="556" t="str">
        <f>+'Unit-300'!E6</f>
        <v>Unit 3</v>
      </c>
      <c r="G4" s="556" t="str">
        <f>+'Unit-400'!E6</f>
        <v>Unit 4</v>
      </c>
      <c r="H4" s="472" t="str">
        <f>+'Plant Overview'!E6</f>
        <v>Plant A</v>
      </c>
      <c r="I4" s="174"/>
      <c r="J4" s="92"/>
      <c r="K4" s="92"/>
    </row>
    <row r="5" spans="1:15" ht="38.450000000000003" customHeight="1" x14ac:dyDescent="0.25">
      <c r="A5" s="83"/>
      <c r="B5" s="554" t="s">
        <v>239</v>
      </c>
      <c r="C5" s="555" t="s">
        <v>356</v>
      </c>
      <c r="D5" s="474" t="s">
        <v>240</v>
      </c>
      <c r="E5" s="474" t="str">
        <f>+'Unit-200'!E7</f>
        <v>U-200</v>
      </c>
      <c r="F5" s="474" t="str">
        <f>+'Unit-300'!E7</f>
        <v>U-300</v>
      </c>
      <c r="G5" s="474" t="str">
        <f>+'Unit-400'!E7</f>
        <v>U-400</v>
      </c>
      <c r="H5" s="472" t="s">
        <v>590</v>
      </c>
      <c r="I5" s="174"/>
      <c r="J5" s="92"/>
      <c r="K5" s="92"/>
    </row>
    <row r="6" spans="1:15" ht="38.450000000000003" customHeight="1" thickBot="1" x14ac:dyDescent="0.3">
      <c r="A6" s="83"/>
      <c r="B6" s="279" t="s">
        <v>587</v>
      </c>
      <c r="C6" s="189" t="s">
        <v>588</v>
      </c>
      <c r="D6" s="499" t="e">
        <f ca="1">+'Unit-100'!S52+'Unit-100'!S53</f>
        <v>#VALUE!</v>
      </c>
      <c r="E6" s="499" t="e">
        <f ca="1">+'Unit-200'!S52+'Unit-200'!S53</f>
        <v>#VALUE!</v>
      </c>
      <c r="F6" s="499" t="e">
        <f ca="1">+'Unit-300'!S36+0</f>
        <v>#VALUE!</v>
      </c>
      <c r="G6" s="499" t="e">
        <f ca="1">+'Unit-400'!S36+0</f>
        <v>#VALUE!</v>
      </c>
      <c r="H6" s="500" t="e">
        <f ca="1">+SUM(Tabla71[[#This Row],[Item 1]:[Item 4]])</f>
        <v>#VALUE!</v>
      </c>
      <c r="I6" s="174"/>
      <c r="J6" s="92"/>
      <c r="K6" s="92"/>
    </row>
    <row r="7" spans="1:15" ht="38.450000000000003" customHeight="1" thickTop="1" x14ac:dyDescent="0.25">
      <c r="A7" s="83"/>
      <c r="B7" s="294" t="s">
        <v>273</v>
      </c>
      <c r="C7" s="161" t="s">
        <v>664</v>
      </c>
      <c r="D7" s="500" t="e">
        <f ca="1">+D6*D18</f>
        <v>#VALUE!</v>
      </c>
      <c r="E7" s="500" t="e">
        <f ca="1">+E6*E18</f>
        <v>#VALUE!</v>
      </c>
      <c r="F7" s="500" t="e">
        <f ca="1">+F6*F18</f>
        <v>#VALUE!</v>
      </c>
      <c r="G7" s="500" t="e">
        <f ca="1">+G6*G18</f>
        <v>#VALUE!</v>
      </c>
      <c r="H7" s="500" t="e">
        <f ca="1">+SUM(Tabla71[[#This Row],[Item 1]:[Item 4]])</f>
        <v>#VALUE!</v>
      </c>
      <c r="I7" s="174"/>
      <c r="J7" s="92"/>
      <c r="K7" s="92"/>
    </row>
    <row r="8" spans="1:15" ht="38.450000000000003" customHeight="1" x14ac:dyDescent="0.25">
      <c r="A8" s="83"/>
      <c r="B8" s="159" t="s">
        <v>274</v>
      </c>
      <c r="C8" s="162" t="s">
        <v>664</v>
      </c>
      <c r="D8" s="500" t="e">
        <f ca="1">+D19*D6</f>
        <v>#VALUE!</v>
      </c>
      <c r="E8" s="500" t="e">
        <f ca="1">+E19*E6</f>
        <v>#VALUE!</v>
      </c>
      <c r="F8" s="500" t="e">
        <f ca="1">+F19*F6</f>
        <v>#VALUE!</v>
      </c>
      <c r="G8" s="500" t="e">
        <f ca="1">+G19*G6</f>
        <v>#VALUE!</v>
      </c>
      <c r="H8" s="500" t="e">
        <f ca="1">+SUM(Tabla71[[#This Row],[Item 1]:[Item 4]])</f>
        <v>#VALUE!</v>
      </c>
      <c r="I8" s="83"/>
    </row>
    <row r="9" spans="1:15" ht="38.450000000000003" customHeight="1" x14ac:dyDescent="0.25">
      <c r="A9" s="83"/>
      <c r="B9" s="159" t="s">
        <v>275</v>
      </c>
      <c r="C9" s="290" t="s">
        <v>665</v>
      </c>
      <c r="D9" s="500" t="e">
        <f ca="1">+D20*(D6+D7+D8)</f>
        <v>#VALUE!</v>
      </c>
      <c r="E9" s="500" t="e">
        <f ca="1">+E20*(E6+E7+E8)</f>
        <v>#VALUE!</v>
      </c>
      <c r="F9" s="500" t="e">
        <f ca="1">+F20*(F6+F7+F8)</f>
        <v>#VALUE!</v>
      </c>
      <c r="G9" s="500" t="e">
        <f ca="1">+G20*(G6+G7+G8)</f>
        <v>#VALUE!</v>
      </c>
      <c r="H9" s="500" t="e">
        <f ca="1">+SUM(Tabla71[[#This Row],[Item 1]:[Item 4]])</f>
        <v>#VALUE!</v>
      </c>
      <c r="I9" s="83"/>
    </row>
    <row r="10" spans="1:15" ht="38.450000000000003" customHeight="1" x14ac:dyDescent="0.25">
      <c r="A10" s="83"/>
      <c r="B10" s="159" t="s">
        <v>276</v>
      </c>
      <c r="C10" s="160" t="s">
        <v>277</v>
      </c>
      <c r="D10" s="500" t="e">
        <f ca="1">+SUM(D8+D9)</f>
        <v>#VALUE!</v>
      </c>
      <c r="E10" s="500" t="e">
        <f t="shared" ref="E10:G10" ca="1" si="0">+SUM(E8+E9)</f>
        <v>#VALUE!</v>
      </c>
      <c r="F10" s="500" t="e">
        <f t="shared" ca="1" si="0"/>
        <v>#VALUE!</v>
      </c>
      <c r="G10" s="500" t="e">
        <f t="shared" ca="1" si="0"/>
        <v>#VALUE!</v>
      </c>
      <c r="H10" s="500" t="e">
        <f ca="1">+SUM(Tabla71[[#This Row],[Item 1]:[Item 4]])</f>
        <v>#VALUE!</v>
      </c>
      <c r="I10" s="83"/>
    </row>
    <row r="11" spans="1:15" ht="38.450000000000003" customHeight="1" x14ac:dyDescent="0.25">
      <c r="A11" s="83"/>
      <c r="B11" s="159" t="s">
        <v>278</v>
      </c>
      <c r="C11" s="160" t="s">
        <v>279</v>
      </c>
      <c r="D11" s="500" t="e">
        <f ca="1">+D6+D7+D10</f>
        <v>#VALUE!</v>
      </c>
      <c r="E11" s="500" t="e">
        <f t="shared" ref="E11:G11" ca="1" si="1">+E6+E7+E10</f>
        <v>#VALUE!</v>
      </c>
      <c r="F11" s="500" t="e">
        <f t="shared" ca="1" si="1"/>
        <v>#VALUE!</v>
      </c>
      <c r="G11" s="500" t="e">
        <f t="shared" ca="1" si="1"/>
        <v>#VALUE!</v>
      </c>
      <c r="H11" s="500" t="e">
        <f ca="1">+SUM(Tabla71[[#This Row],[Item 1]:[Item 4]])</f>
        <v>#VALUE!</v>
      </c>
      <c r="I11" s="83"/>
    </row>
    <row r="12" spans="1:15" ht="38.450000000000003" customHeight="1" x14ac:dyDescent="0.25">
      <c r="A12" s="83"/>
      <c r="B12" s="159" t="s">
        <v>280</v>
      </c>
      <c r="C12" s="160" t="s">
        <v>662</v>
      </c>
      <c r="D12" s="500" t="e">
        <f ca="1">+D11*D23</f>
        <v>#VALUE!</v>
      </c>
      <c r="E12" s="500" t="e">
        <f ca="1">+E11*E23</f>
        <v>#VALUE!</v>
      </c>
      <c r="F12" s="500" t="e">
        <f ca="1">+F11*F23</f>
        <v>#VALUE!</v>
      </c>
      <c r="G12" s="500" t="e">
        <f ca="1">+G11*G23</f>
        <v>#VALUE!</v>
      </c>
      <c r="H12" s="500" t="e">
        <f ca="1">+SUM(Tabla71[[#This Row],[Item 1]:[Item 4]])</f>
        <v>#VALUE!</v>
      </c>
      <c r="I12" s="83"/>
    </row>
    <row r="13" spans="1:15" ht="38.450000000000003" customHeight="1" thickBot="1" x14ac:dyDescent="0.3">
      <c r="A13" s="83"/>
      <c r="B13" s="191" t="s">
        <v>281</v>
      </c>
      <c r="C13" s="192" t="s">
        <v>282</v>
      </c>
      <c r="D13" s="500" t="e">
        <f ca="1">+D11+D12</f>
        <v>#VALUE!</v>
      </c>
      <c r="E13" s="500" t="e">
        <f t="shared" ref="E13:G13" ca="1" si="2">+E11+E12</f>
        <v>#VALUE!</v>
      </c>
      <c r="F13" s="500" t="e">
        <f t="shared" ca="1" si="2"/>
        <v>#VALUE!</v>
      </c>
      <c r="G13" s="500" t="e">
        <f t="shared" ca="1" si="2"/>
        <v>#VALUE!</v>
      </c>
      <c r="H13" s="500" t="e">
        <f ca="1">+SUM(Tabla71[[#This Row],[Item 1]:[Item 4]])</f>
        <v>#VALUE!</v>
      </c>
      <c r="I13" s="83"/>
    </row>
    <row r="14" spans="1:15" ht="38.450000000000003" customHeight="1" thickTop="1" x14ac:dyDescent="0.25">
      <c r="A14" s="83"/>
      <c r="B14" s="193" t="s">
        <v>283</v>
      </c>
      <c r="C14" s="161" t="s">
        <v>663</v>
      </c>
      <c r="D14" s="500" t="e">
        <f ca="1">+D13*D25</f>
        <v>#VALUE!</v>
      </c>
      <c r="E14" s="500" t="e">
        <f ca="1">+E13*E25</f>
        <v>#VALUE!</v>
      </c>
      <c r="F14" s="500" t="e">
        <f ca="1">+F13*F25</f>
        <v>#VALUE!</v>
      </c>
      <c r="G14" s="500" t="e">
        <f ca="1">+G13*G25</f>
        <v>#VALUE!</v>
      </c>
      <c r="H14" s="500" t="e">
        <f ca="1">+SUM(Tabla71[[#This Row],[Item 1]:[Item 4]])</f>
        <v>#VALUE!</v>
      </c>
      <c r="I14" s="83"/>
    </row>
    <row r="15" spans="1:15" x14ac:dyDescent="0.25">
      <c r="A15" s="83"/>
      <c r="B15" s="83"/>
      <c r="C15" s="83"/>
      <c r="D15" s="248"/>
      <c r="E15" s="248"/>
      <c r="F15" s="248"/>
      <c r="G15" s="248"/>
      <c r="H15" s="248"/>
      <c r="M15" s="83"/>
      <c r="N15" s="83"/>
      <c r="O15" s="83"/>
    </row>
    <row r="16" spans="1:15" ht="38.450000000000003" customHeight="1" x14ac:dyDescent="0.25">
      <c r="A16" s="83"/>
      <c r="B16" s="587" t="s">
        <v>360</v>
      </c>
      <c r="C16" s="587" t="s">
        <v>463</v>
      </c>
      <c r="D16" s="608" t="s">
        <v>670</v>
      </c>
      <c r="E16" s="608" t="s">
        <v>671</v>
      </c>
      <c r="F16" s="608" t="s">
        <v>699</v>
      </c>
      <c r="G16" s="608" t="s">
        <v>700</v>
      </c>
      <c r="H16" s="178"/>
      <c r="I16" s="83"/>
      <c r="J16" s="83"/>
    </row>
    <row r="17" spans="1:15" ht="38.450000000000003" customHeight="1" x14ac:dyDescent="0.25">
      <c r="A17" s="83"/>
      <c r="B17" s="86" t="s">
        <v>271</v>
      </c>
      <c r="C17" s="86" t="s">
        <v>272</v>
      </c>
      <c r="D17" s="551" t="s">
        <v>354</v>
      </c>
      <c r="E17" s="551" t="s">
        <v>354</v>
      </c>
      <c r="F17" s="551" t="s">
        <v>354</v>
      </c>
      <c r="G17" s="551" t="s">
        <v>354</v>
      </c>
      <c r="H17" s="178"/>
      <c r="I17" s="83"/>
      <c r="J17" s="83"/>
    </row>
    <row r="18" spans="1:15" ht="38.450000000000003" customHeight="1" x14ac:dyDescent="0.25">
      <c r="A18" s="83"/>
      <c r="B18" s="655" t="s">
        <v>273</v>
      </c>
      <c r="C18" s="86" t="s">
        <v>664</v>
      </c>
      <c r="D18" s="552">
        <v>0.08</v>
      </c>
      <c r="E18" s="552">
        <v>0.08</v>
      </c>
      <c r="F18" s="552">
        <v>0.08</v>
      </c>
      <c r="G18" s="552">
        <v>0.08</v>
      </c>
      <c r="H18" s="178"/>
      <c r="I18" s="83"/>
      <c r="J18" s="83"/>
    </row>
    <row r="19" spans="1:15" ht="38.450000000000003" customHeight="1" x14ac:dyDescent="0.25">
      <c r="A19" s="83"/>
      <c r="B19" s="86" t="s">
        <v>274</v>
      </c>
      <c r="C19" s="86" t="s">
        <v>664</v>
      </c>
      <c r="D19" s="553">
        <v>0</v>
      </c>
      <c r="E19" s="553">
        <v>0</v>
      </c>
      <c r="F19" s="553">
        <v>0</v>
      </c>
      <c r="G19" s="553">
        <v>0</v>
      </c>
      <c r="H19" s="178"/>
      <c r="I19" s="83"/>
      <c r="J19" s="83"/>
    </row>
    <row r="20" spans="1:15" ht="38.450000000000003" customHeight="1" x14ac:dyDescent="0.25">
      <c r="A20" s="83"/>
      <c r="B20" s="86" t="s">
        <v>275</v>
      </c>
      <c r="C20" s="86" t="s">
        <v>665</v>
      </c>
      <c r="D20" s="553">
        <v>0.15</v>
      </c>
      <c r="E20" s="553">
        <v>0.15</v>
      </c>
      <c r="F20" s="553">
        <v>0.15</v>
      </c>
      <c r="G20" s="553">
        <v>0.15</v>
      </c>
      <c r="H20" s="178"/>
      <c r="I20" s="83"/>
      <c r="J20" s="83"/>
    </row>
    <row r="21" spans="1:15" ht="38.450000000000003" customHeight="1" x14ac:dyDescent="0.25">
      <c r="A21" s="83"/>
      <c r="B21" s="86" t="s">
        <v>276</v>
      </c>
      <c r="C21" s="86" t="s">
        <v>277</v>
      </c>
      <c r="D21" s="385" t="s">
        <v>354</v>
      </c>
      <c r="E21" s="385" t="s">
        <v>354</v>
      </c>
      <c r="F21" s="385" t="s">
        <v>354</v>
      </c>
      <c r="G21" s="385" t="s">
        <v>354</v>
      </c>
      <c r="H21" s="178"/>
      <c r="I21" s="83"/>
      <c r="J21" s="83"/>
    </row>
    <row r="22" spans="1:15" ht="38.450000000000003" customHeight="1" x14ac:dyDescent="0.25">
      <c r="A22" s="83"/>
      <c r="B22" s="86" t="s">
        <v>278</v>
      </c>
      <c r="C22" s="86" t="s">
        <v>279</v>
      </c>
      <c r="D22" s="385" t="s">
        <v>354</v>
      </c>
      <c r="E22" s="385" t="s">
        <v>354</v>
      </c>
      <c r="F22" s="385" t="s">
        <v>354</v>
      </c>
      <c r="G22" s="385" t="s">
        <v>354</v>
      </c>
      <c r="H22" s="178"/>
      <c r="I22" s="83"/>
      <c r="J22" s="83"/>
    </row>
    <row r="23" spans="1:15" ht="38.450000000000003" customHeight="1" x14ac:dyDescent="0.25">
      <c r="A23" s="83"/>
      <c r="B23" s="86" t="s">
        <v>280</v>
      </c>
      <c r="C23" s="86" t="s">
        <v>662</v>
      </c>
      <c r="D23" s="553">
        <v>0.15</v>
      </c>
      <c r="E23" s="553">
        <v>0.15</v>
      </c>
      <c r="F23" s="553">
        <v>0.15</v>
      </c>
      <c r="G23" s="553">
        <v>0.15</v>
      </c>
      <c r="H23" s="178"/>
      <c r="I23" s="83"/>
      <c r="J23" s="83"/>
    </row>
    <row r="24" spans="1:15" ht="38.450000000000003" customHeight="1" x14ac:dyDescent="0.25">
      <c r="A24" s="83"/>
      <c r="B24" s="86" t="s">
        <v>281</v>
      </c>
      <c r="C24" s="86" t="s">
        <v>282</v>
      </c>
      <c r="D24" s="385" t="s">
        <v>354</v>
      </c>
      <c r="E24" s="385" t="s">
        <v>354</v>
      </c>
      <c r="F24" s="385" t="s">
        <v>354</v>
      </c>
      <c r="G24" s="385" t="s">
        <v>354</v>
      </c>
      <c r="H24" s="178"/>
      <c r="I24" s="83"/>
      <c r="J24" s="83"/>
    </row>
    <row r="25" spans="1:15" ht="38.450000000000003" customHeight="1" x14ac:dyDescent="0.25">
      <c r="A25" s="83"/>
      <c r="B25" s="86" t="s">
        <v>283</v>
      </c>
      <c r="C25" s="86" t="s">
        <v>284</v>
      </c>
      <c r="D25" s="553">
        <v>1.1100000000000001</v>
      </c>
      <c r="E25" s="553">
        <v>1.1100000000000001</v>
      </c>
      <c r="F25" s="553">
        <v>1.1100000000000001</v>
      </c>
      <c r="G25" s="553">
        <v>1.1100000000000001</v>
      </c>
      <c r="H25" s="178"/>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907" t="s">
        <v>633</v>
      </c>
      <c r="C28" s="908"/>
      <c r="D28" s="92"/>
      <c r="E28" s="291"/>
      <c r="G28" s="83"/>
      <c r="H28" s="83"/>
      <c r="I28" s="83"/>
      <c r="J28" s="83"/>
      <c r="K28" s="83"/>
      <c r="L28" s="83"/>
      <c r="M28" s="83"/>
      <c r="N28" s="83"/>
      <c r="O28" s="83"/>
    </row>
    <row r="29" spans="1:15" ht="36" customHeight="1" x14ac:dyDescent="0.25">
      <c r="A29" s="83"/>
      <c r="B29" s="539" t="s">
        <v>464</v>
      </c>
      <c r="C29" s="600" t="str">
        <f>+'Plant Overview'!E9</f>
        <v>€</v>
      </c>
      <c r="D29" s="605" t="s">
        <v>496</v>
      </c>
      <c r="E29" s="293"/>
      <c r="F29" s="83"/>
      <c r="G29" s="83"/>
      <c r="H29" s="83"/>
      <c r="I29" s="83"/>
      <c r="J29" s="83"/>
      <c r="K29" s="83"/>
      <c r="L29" s="83"/>
      <c r="M29" s="83"/>
      <c r="N29" s="83"/>
      <c r="O29" s="83"/>
    </row>
    <row r="30" spans="1:15" ht="36" customHeight="1" x14ac:dyDescent="0.25">
      <c r="A30" s="83"/>
      <c r="B30" s="601" t="s">
        <v>315</v>
      </c>
      <c r="C30" s="602">
        <f>+'Plant Overview'!E8</f>
        <v>2020</v>
      </c>
      <c r="D30" s="501"/>
      <c r="E30" s="105"/>
      <c r="F30" s="83"/>
      <c r="G30" s="83"/>
      <c r="H30" s="83"/>
      <c r="I30" s="83"/>
      <c r="J30" s="83"/>
      <c r="K30" s="83"/>
      <c r="L30" s="83"/>
      <c r="M30" s="83"/>
      <c r="N30" s="83"/>
      <c r="O30" s="83"/>
    </row>
    <row r="31" spans="1:15" ht="36" customHeight="1" x14ac:dyDescent="0.25">
      <c r="A31" s="83"/>
      <c r="B31" s="603" t="s">
        <v>477</v>
      </c>
      <c r="C31" s="604" t="str">
        <f>+'Plant Overview'!E7</f>
        <v>Western Europe</v>
      </c>
      <c r="D31" s="502"/>
      <c r="E31" s="105"/>
      <c r="F31" s="83"/>
      <c r="G31" s="83"/>
      <c r="H31" s="83"/>
      <c r="I31" s="83"/>
      <c r="J31" s="83"/>
      <c r="K31" s="83"/>
      <c r="L31" s="83"/>
      <c r="M31" s="83"/>
      <c r="N31" s="83"/>
      <c r="O31" s="83"/>
    </row>
    <row r="32" spans="1:15" ht="36" customHeight="1" x14ac:dyDescent="0.25">
      <c r="A32" s="83"/>
      <c r="B32" s="83"/>
      <c r="C32" s="178"/>
      <c r="D32" s="178"/>
      <c r="E32" s="105"/>
      <c r="F32" s="83"/>
      <c r="G32" s="83"/>
      <c r="H32" s="83"/>
      <c r="I32" s="83"/>
      <c r="J32" s="83"/>
      <c r="K32" s="83"/>
      <c r="L32" s="83"/>
      <c r="M32" s="83"/>
      <c r="N32" s="83"/>
      <c r="O32" s="83"/>
    </row>
    <row r="33" spans="1:15" ht="36" customHeight="1" x14ac:dyDescent="0.25">
      <c r="A33" s="83"/>
      <c r="B33" s="558" t="s">
        <v>593</v>
      </c>
      <c r="C33" s="559" t="str">
        <f>+"Total (M"&amp;C29&amp;")"</f>
        <v>Total (M€)</v>
      </c>
      <c r="D33" s="560" t="str">
        <f>+"Specific ("&amp;C29&amp;"/"&amp;'Plant Overview'!J33&amp;")"</f>
        <v>Specific (€/unit P)</v>
      </c>
      <c r="E33" s="83"/>
      <c r="F33" s="83"/>
      <c r="G33" s="83"/>
      <c r="H33" s="83"/>
      <c r="I33" s="83"/>
      <c r="J33" s="83"/>
      <c r="K33" s="83"/>
      <c r="L33" s="83"/>
      <c r="M33" s="83"/>
      <c r="N33" s="83"/>
      <c r="O33" s="83"/>
    </row>
    <row r="34" spans="1:15" ht="36" customHeight="1" x14ac:dyDescent="0.25">
      <c r="A34" s="83"/>
      <c r="B34" s="603" t="s">
        <v>591</v>
      </c>
      <c r="C34" s="606" t="e">
        <f ca="1">+H13</f>
        <v>#VALUE!</v>
      </c>
      <c r="D34" s="606" t="e">
        <f ca="1">+C34/'Cash Flow Analysis'!D5*1000</f>
        <v>#VALUE!</v>
      </c>
      <c r="E34" s="83"/>
      <c r="F34" s="83"/>
      <c r="G34" s="83"/>
      <c r="H34" s="83"/>
      <c r="I34" s="83"/>
      <c r="J34" s="83"/>
      <c r="K34" s="83"/>
      <c r="L34" s="83"/>
      <c r="M34" s="83"/>
      <c r="N34" s="83"/>
      <c r="O34" s="83"/>
    </row>
    <row r="35" spans="1:15" ht="36" customHeight="1" x14ac:dyDescent="0.25">
      <c r="A35" s="83"/>
      <c r="B35" s="603" t="s">
        <v>592</v>
      </c>
      <c r="C35" s="606" t="e">
        <f ca="1">+H14</f>
        <v>#VALUE!</v>
      </c>
      <c r="D35" s="607" t="e">
        <f ca="1">+C35/'Cash Flow Analysis'!D5*1000</f>
        <v>#VALUE!</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906" t="s">
        <v>703</v>
      </c>
      <c r="C37" s="439" t="s">
        <v>595</v>
      </c>
      <c r="D37" s="260"/>
      <c r="E37" s="83"/>
      <c r="F37" s="83"/>
      <c r="G37" s="83"/>
      <c r="H37" s="83"/>
      <c r="I37" s="83"/>
      <c r="J37" s="83"/>
      <c r="K37" s="83"/>
      <c r="L37" s="83"/>
      <c r="M37" s="83"/>
      <c r="N37" s="83"/>
      <c r="O37" s="83"/>
    </row>
    <row r="38" spans="1:15" ht="36" customHeight="1" x14ac:dyDescent="0.25">
      <c r="A38" s="83"/>
      <c r="B38" s="906"/>
      <c r="C38" s="295" t="s">
        <v>596</v>
      </c>
      <c r="D38" s="260"/>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34" sqref="I34"/>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 min="23" max="23" width="11.140625" style="92"/>
  </cols>
  <sheetData>
    <row r="1" spans="1:25" ht="21" customHeight="1"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row>
    <row r="2" spans="1:25" ht="21" customHeight="1" x14ac:dyDescent="0.25">
      <c r="A2" s="83"/>
      <c r="B2" s="909" t="s">
        <v>575</v>
      </c>
      <c r="C2" s="909"/>
      <c r="D2" s="105"/>
      <c r="E2" s="105"/>
      <c r="F2" s="105"/>
      <c r="G2" s="105"/>
      <c r="H2" s="105"/>
      <c r="I2" s="105"/>
      <c r="J2" s="83"/>
      <c r="K2" s="83"/>
      <c r="L2" s="83"/>
      <c r="M2" s="83"/>
      <c r="N2" s="83"/>
      <c r="O2" s="83"/>
      <c r="P2" s="83"/>
      <c r="Q2" s="83"/>
      <c r="R2" s="83"/>
      <c r="S2" s="850" t="s">
        <v>647</v>
      </c>
      <c r="T2" s="851"/>
      <c r="U2" s="851"/>
      <c r="V2" s="851"/>
      <c r="W2" s="851"/>
      <c r="X2" s="851"/>
      <c r="Y2" s="852"/>
    </row>
    <row r="3" spans="1:25" ht="21" customHeight="1" x14ac:dyDescent="0.25">
      <c r="A3" s="83"/>
      <c r="B3" s="909"/>
      <c r="C3" s="909"/>
      <c r="D3" s="105"/>
      <c r="E3" s="105"/>
      <c r="F3" s="105"/>
      <c r="G3" s="105"/>
      <c r="H3" s="105"/>
      <c r="I3" s="105"/>
      <c r="J3" s="468"/>
      <c r="K3" s="468"/>
      <c r="L3" s="468"/>
      <c r="M3" s="105"/>
      <c r="N3" s="83"/>
      <c r="O3" s="83"/>
      <c r="P3" s="853" t="s">
        <v>267</v>
      </c>
      <c r="Q3" s="854"/>
      <c r="T3" s="83"/>
      <c r="U3" s="83"/>
      <c r="V3" s="83"/>
    </row>
    <row r="4" spans="1:25" ht="21" customHeight="1" x14ac:dyDescent="0.25">
      <c r="A4" s="83"/>
      <c r="B4" s="916" t="s">
        <v>496</v>
      </c>
      <c r="C4" s="917"/>
      <c r="D4" s="105"/>
      <c r="E4" s="105"/>
      <c r="F4" s="262" t="s">
        <v>578</v>
      </c>
      <c r="G4" s="263" t="s">
        <v>579</v>
      </c>
      <c r="H4" s="105"/>
      <c r="I4" s="105"/>
      <c r="J4" s="105"/>
      <c r="K4" s="250"/>
      <c r="L4" s="247"/>
      <c r="M4" s="244"/>
      <c r="N4" s="83"/>
      <c r="O4" s="83"/>
      <c r="P4" s="452"/>
      <c r="Q4" s="398" t="s">
        <v>262</v>
      </c>
      <c r="S4" s="128" t="s">
        <v>707</v>
      </c>
      <c r="T4" s="129" t="s">
        <v>360</v>
      </c>
      <c r="U4" s="890" t="s">
        <v>580</v>
      </c>
      <c r="V4" s="891"/>
      <c r="W4" s="891"/>
      <c r="X4" s="891"/>
      <c r="Y4" s="892"/>
    </row>
    <row r="5" spans="1:25" ht="21" customHeight="1" x14ac:dyDescent="0.25">
      <c r="A5" s="83"/>
      <c r="B5" s="918"/>
      <c r="C5" s="919"/>
      <c r="D5" s="105"/>
      <c r="E5" s="261" t="s">
        <v>458</v>
      </c>
      <c r="F5" s="260"/>
      <c r="G5" s="260"/>
      <c r="H5" s="105"/>
      <c r="I5" s="105"/>
      <c r="J5" s="105"/>
      <c r="K5" s="244"/>
      <c r="L5" s="247"/>
      <c r="M5" s="244"/>
      <c r="N5" s="83"/>
      <c r="O5" s="83"/>
      <c r="P5" s="547"/>
      <c r="Q5" s="398" t="s">
        <v>263</v>
      </c>
      <c r="S5" s="685"/>
      <c r="T5" s="686"/>
      <c r="U5" s="881"/>
      <c r="V5" s="882"/>
      <c r="W5" s="882"/>
      <c r="X5" s="882"/>
      <c r="Y5" s="883"/>
    </row>
    <row r="6" spans="1:25" ht="21" customHeight="1" x14ac:dyDescent="0.25">
      <c r="A6" s="83"/>
      <c r="B6" s="916"/>
      <c r="C6" s="917"/>
      <c r="D6" s="105"/>
      <c r="E6" s="261" t="s">
        <v>577</v>
      </c>
      <c r="F6" s="260"/>
      <c r="G6" s="260"/>
      <c r="H6" s="105"/>
      <c r="I6" s="105"/>
      <c r="J6" s="105"/>
      <c r="K6" s="461"/>
      <c r="L6" s="247"/>
      <c r="M6" s="244"/>
      <c r="N6" s="83"/>
      <c r="O6" s="83"/>
      <c r="P6" s="548"/>
      <c r="Q6" s="478" t="s">
        <v>264</v>
      </c>
      <c r="S6" s="685"/>
      <c r="T6" s="686"/>
      <c r="U6" s="881"/>
      <c r="V6" s="882"/>
      <c r="W6" s="882"/>
      <c r="X6" s="882"/>
      <c r="Y6" s="883"/>
    </row>
    <row r="7" spans="1:25" s="83" customFormat="1" ht="21" customHeight="1" x14ac:dyDescent="0.25">
      <c r="B7" s="920"/>
      <c r="C7" s="921"/>
      <c r="D7" s="105"/>
      <c r="E7" s="261" t="s">
        <v>459</v>
      </c>
      <c r="F7" s="260"/>
      <c r="G7" s="260"/>
      <c r="H7" s="105"/>
      <c r="I7" s="105"/>
      <c r="J7" s="105"/>
      <c r="K7" s="244"/>
      <c r="L7" s="247"/>
      <c r="M7" s="244"/>
      <c r="P7" s="549"/>
      <c r="Q7" s="536" t="s">
        <v>268</v>
      </c>
      <c r="S7" s="685"/>
      <c r="T7" s="686"/>
      <c r="U7" s="881"/>
      <c r="V7" s="882"/>
      <c r="W7" s="882"/>
      <c r="X7" s="882"/>
      <c r="Y7" s="883"/>
    </row>
    <row r="8" spans="1:25" s="83" customFormat="1" ht="21" customHeight="1" x14ac:dyDescent="0.25">
      <c r="B8" s="920"/>
      <c r="C8" s="921"/>
      <c r="D8" s="105"/>
      <c r="E8" s="916" t="s">
        <v>762</v>
      </c>
      <c r="F8" s="922"/>
      <c r="G8" s="917"/>
      <c r="H8" s="105"/>
      <c r="I8" s="105"/>
      <c r="J8" s="105"/>
      <c r="K8" s="244"/>
      <c r="L8" s="247"/>
      <c r="M8" s="244"/>
      <c r="S8" s="685"/>
      <c r="T8" s="686"/>
      <c r="U8" s="881"/>
      <c r="V8" s="882"/>
      <c r="W8" s="882"/>
      <c r="X8" s="882"/>
      <c r="Y8" s="883"/>
    </row>
    <row r="9" spans="1:25" ht="21" customHeight="1" x14ac:dyDescent="0.25">
      <c r="A9" s="83"/>
      <c r="B9" s="918"/>
      <c r="C9" s="919"/>
      <c r="D9" s="465"/>
      <c r="E9" s="918"/>
      <c r="F9" s="923"/>
      <c r="G9" s="919"/>
      <c r="H9" s="105"/>
      <c r="I9" s="105"/>
      <c r="J9" s="244"/>
      <c r="K9" s="244"/>
      <c r="L9" s="244"/>
      <c r="M9" s="244"/>
      <c r="N9" s="83"/>
      <c r="O9" s="83"/>
      <c r="P9" s="280" t="s">
        <v>698</v>
      </c>
      <c r="Q9" s="609">
        <f>+'Cost Conversion'!L2</f>
        <v>1.2</v>
      </c>
      <c r="S9" s="685"/>
      <c r="T9" s="686"/>
      <c r="U9" s="881"/>
      <c r="V9" s="882"/>
      <c r="W9" s="882"/>
      <c r="X9" s="882"/>
      <c r="Y9" s="883"/>
    </row>
    <row r="10" spans="1:25" ht="21" customHeight="1" x14ac:dyDescent="0.25">
      <c r="A10" s="83"/>
      <c r="B10" s="105"/>
      <c r="C10" s="105"/>
      <c r="D10" s="465"/>
      <c r="E10" s="105"/>
      <c r="F10" s="246"/>
      <c r="G10" s="105"/>
      <c r="H10" s="105"/>
      <c r="I10" s="105"/>
      <c r="J10" s="244"/>
      <c r="K10" s="244"/>
      <c r="L10" s="244"/>
      <c r="M10" s="244"/>
      <c r="N10" s="83"/>
      <c r="O10" s="83"/>
      <c r="T10" s="243"/>
      <c r="U10" s="243"/>
      <c r="V10" s="243"/>
    </row>
    <row r="11" spans="1:25" ht="21" customHeight="1" x14ac:dyDescent="0.25">
      <c r="A11" s="83"/>
      <c r="B11" s="105"/>
      <c r="C11" s="105"/>
      <c r="D11" s="465"/>
      <c r="E11" s="105"/>
      <c r="F11" s="246"/>
      <c r="G11" s="105"/>
      <c r="H11" s="105"/>
      <c r="I11" s="105"/>
      <c r="J11" s="244"/>
      <c r="K11" s="244"/>
      <c r="L11" s="244"/>
      <c r="M11" s="244"/>
      <c r="N11" s="83"/>
      <c r="O11" s="83"/>
      <c r="T11" s="243"/>
      <c r="U11" s="243"/>
      <c r="V11" s="243"/>
    </row>
    <row r="12" spans="1:25" ht="21" customHeight="1" x14ac:dyDescent="0.25">
      <c r="A12" s="83"/>
      <c r="B12" s="105"/>
      <c r="C12" s="83"/>
      <c r="D12" s="465"/>
      <c r="E12" s="105"/>
      <c r="F12" s="246"/>
      <c r="G12" s="105"/>
      <c r="H12" s="105"/>
      <c r="J12" s="244"/>
      <c r="K12" s="244"/>
      <c r="L12" s="244"/>
      <c r="M12" s="244"/>
      <c r="N12" s="83"/>
      <c r="O12" s="83"/>
      <c r="T12" s="243"/>
      <c r="U12" s="243"/>
      <c r="V12" s="243"/>
    </row>
    <row r="13" spans="1:25" ht="21" customHeight="1" x14ac:dyDescent="0.2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25">
      <c r="A14" s="83"/>
      <c r="B14" s="913" t="s">
        <v>449</v>
      </c>
      <c r="C14" s="914"/>
      <c r="D14" s="914"/>
      <c r="E14" s="914"/>
      <c r="F14" s="914"/>
      <c r="G14" s="915"/>
      <c r="H14" s="205"/>
      <c r="I14" s="913" t="s">
        <v>717</v>
      </c>
      <c r="J14" s="914"/>
      <c r="K14" s="914"/>
      <c r="L14" s="914"/>
      <c r="M14" s="914"/>
      <c r="N14" s="915"/>
      <c r="O14" s="83"/>
      <c r="P14" s="850" t="s">
        <v>451</v>
      </c>
      <c r="Q14" s="851"/>
      <c r="R14" s="851"/>
      <c r="S14" s="851"/>
      <c r="T14" s="851"/>
      <c r="U14" s="852"/>
      <c r="V14" s="243"/>
      <c r="W14" s="473" t="str">
        <f>+B18</f>
        <v>Total FOM</v>
      </c>
    </row>
    <row r="15" spans="1:25" ht="21" customHeight="1" x14ac:dyDescent="0.25">
      <c r="A15" s="83"/>
      <c r="B15" s="610" t="s">
        <v>685</v>
      </c>
      <c r="C15" s="611" t="s">
        <v>674</v>
      </c>
      <c r="D15" s="610" t="s">
        <v>683</v>
      </c>
      <c r="E15" s="611" t="s">
        <v>576</v>
      </c>
      <c r="F15" s="610" t="s">
        <v>684</v>
      </c>
      <c r="G15" s="731" t="s">
        <v>731</v>
      </c>
      <c r="H15" s="466"/>
      <c r="I15" s="610" t="s">
        <v>685</v>
      </c>
      <c r="J15" s="611" t="s">
        <v>674</v>
      </c>
      <c r="K15" s="610" t="s">
        <v>683</v>
      </c>
      <c r="L15" s="611" t="s">
        <v>576</v>
      </c>
      <c r="M15" s="610" t="s">
        <v>684</v>
      </c>
      <c r="N15" s="612" t="s">
        <v>732</v>
      </c>
      <c r="O15" s="467"/>
      <c r="P15" s="613" t="s">
        <v>685</v>
      </c>
      <c r="Q15" s="614" t="s">
        <v>674</v>
      </c>
      <c r="R15" s="615" t="s">
        <v>683</v>
      </c>
      <c r="S15" s="614" t="s">
        <v>576</v>
      </c>
      <c r="T15" s="615" t="s">
        <v>684</v>
      </c>
      <c r="U15" s="616" t="s">
        <v>732</v>
      </c>
      <c r="V15" s="243"/>
      <c r="W15" s="473" t="str">
        <f>+I16</f>
        <v>Fuel 1</v>
      </c>
    </row>
    <row r="16" spans="1:25" ht="21" customHeight="1" x14ac:dyDescent="0.25">
      <c r="A16" s="83"/>
      <c r="B16" s="537" t="s">
        <v>670</v>
      </c>
      <c r="C16" s="739"/>
      <c r="D16" s="130"/>
      <c r="E16" s="739"/>
      <c r="F16" s="257"/>
      <c r="G16" s="168">
        <f t="shared" ref="G16" si="0">+C16*E16</f>
        <v>0</v>
      </c>
      <c r="H16" s="205"/>
      <c r="I16" s="97" t="str">
        <f>+'Plant Overview'!H72</f>
        <v>Fuel 1</v>
      </c>
      <c r="J16" s="269"/>
      <c r="K16" s="130"/>
      <c r="L16" s="739"/>
      <c r="M16" s="97"/>
      <c r="N16" s="545">
        <f>+J16*L16/10^6</f>
        <v>0</v>
      </c>
      <c r="O16" s="83"/>
      <c r="P16" s="537" t="s">
        <v>677</v>
      </c>
      <c r="Q16" s="269"/>
      <c r="R16" s="537"/>
      <c r="S16" s="739"/>
      <c r="T16" s="537"/>
      <c r="U16" s="168">
        <f>+Q16*S16/10^6</f>
        <v>0</v>
      </c>
      <c r="V16" s="243"/>
      <c r="W16" s="473" t="str">
        <f>+I17</f>
        <v>Fuel 2</v>
      </c>
    </row>
    <row r="17" spans="1:23" ht="21" customHeight="1" x14ac:dyDescent="0.3">
      <c r="A17" s="83"/>
      <c r="B17" s="795" t="s">
        <v>671</v>
      </c>
      <c r="C17" s="739"/>
      <c r="D17" s="130"/>
      <c r="E17" s="739"/>
      <c r="F17" s="257"/>
      <c r="G17" s="168">
        <f>+C17*E17</f>
        <v>0</v>
      </c>
      <c r="H17" s="251"/>
      <c r="I17" s="441" t="str">
        <f>+'Plant Overview'!H73</f>
        <v>Fuel 2</v>
      </c>
      <c r="J17" s="269"/>
      <c r="K17" s="130"/>
      <c r="L17" s="739"/>
      <c r="M17" s="441"/>
      <c r="N17" s="544">
        <f>+J17*L17/10^6</f>
        <v>0</v>
      </c>
      <c r="O17" s="83"/>
      <c r="P17" s="537" t="s">
        <v>670</v>
      </c>
      <c r="Q17" s="269"/>
      <c r="R17" s="537"/>
      <c r="S17" s="739"/>
      <c r="T17" s="537"/>
      <c r="U17" s="168">
        <f>+Q17*S17/10^6</f>
        <v>0</v>
      </c>
      <c r="V17" s="243"/>
      <c r="W17" s="473" t="str">
        <f>+P18</f>
        <v>Total VOM (exl. Fuel &amp; CO2 tax)</v>
      </c>
    </row>
    <row r="18" spans="1:23" ht="21" customHeight="1" x14ac:dyDescent="0.3">
      <c r="A18" s="83"/>
      <c r="B18" s="910" t="s">
        <v>450</v>
      </c>
      <c r="C18" s="911"/>
      <c r="D18" s="911"/>
      <c r="E18" s="911"/>
      <c r="F18" s="912"/>
      <c r="G18" s="544">
        <f>SUM(Tabla60[cost/year])</f>
        <v>0</v>
      </c>
      <c r="H18" s="251"/>
      <c r="I18" s="105"/>
      <c r="J18" s="83"/>
      <c r="K18" s="83"/>
      <c r="L18" s="243"/>
      <c r="M18" s="243"/>
      <c r="N18" s="243"/>
      <c r="O18" s="243"/>
      <c r="P18" s="910" t="s">
        <v>571</v>
      </c>
      <c r="Q18" s="911"/>
      <c r="R18" s="911"/>
      <c r="S18" s="911"/>
      <c r="T18" s="912"/>
      <c r="U18" s="546">
        <f>SUM(Tabla58[cost/year])-U16</f>
        <v>0</v>
      </c>
      <c r="V18" s="243"/>
    </row>
    <row r="19" spans="1:23" ht="21" customHeight="1" x14ac:dyDescent="0.25">
      <c r="A19" s="83"/>
      <c r="B19" s="238"/>
      <c r="C19" s="238"/>
      <c r="D19" s="238"/>
      <c r="E19" s="238"/>
      <c r="F19" s="238"/>
      <c r="G19" s="163"/>
      <c r="H19" s="205"/>
      <c r="I19" s="105"/>
      <c r="J19" s="83"/>
      <c r="K19" s="83"/>
      <c r="L19" s="243"/>
      <c r="M19" s="243"/>
      <c r="N19" s="243"/>
      <c r="O19" s="243"/>
      <c r="P19" s="910" t="s">
        <v>494</v>
      </c>
      <c r="Q19" s="911"/>
      <c r="R19" s="911"/>
      <c r="S19" s="911"/>
      <c r="T19" s="911"/>
      <c r="U19" s="544">
        <f>+U16</f>
        <v>0</v>
      </c>
      <c r="V19" s="243"/>
    </row>
    <row r="20" spans="1:23" ht="21" customHeight="1" x14ac:dyDescent="0.25">
      <c r="A20" s="83"/>
      <c r="H20" s="205"/>
      <c r="I20" s="105"/>
      <c r="J20" s="83"/>
      <c r="K20" s="83"/>
      <c r="L20" s="243"/>
      <c r="M20" s="243"/>
      <c r="N20" s="243"/>
      <c r="O20" s="243"/>
      <c r="P20" s="243"/>
      <c r="Q20" s="243"/>
      <c r="R20" s="243"/>
      <c r="S20" s="243"/>
      <c r="T20" s="243"/>
      <c r="U20" s="243"/>
      <c r="V20" s="243"/>
    </row>
    <row r="21" spans="1:23" ht="21" customHeight="1" x14ac:dyDescent="0.25">
      <c r="A21" s="83"/>
      <c r="H21" s="250"/>
      <c r="I21" s="105"/>
      <c r="J21" s="83"/>
      <c r="K21" s="83"/>
      <c r="L21" s="243"/>
      <c r="M21" s="243"/>
      <c r="N21" s="243"/>
      <c r="O21" s="243"/>
      <c r="P21" s="243"/>
      <c r="Q21" s="243"/>
      <c r="R21" s="243"/>
      <c r="S21" s="244"/>
      <c r="T21" s="243"/>
      <c r="U21" s="243"/>
      <c r="V21" s="243"/>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R41" sqref="R41"/>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926" t="s">
        <v>584</v>
      </c>
      <c r="C1" s="927"/>
      <c r="D1" s="927"/>
      <c r="E1" s="928"/>
      <c r="G1" s="924" t="s">
        <v>495</v>
      </c>
      <c r="H1" s="925"/>
      <c r="I1" s="924" t="s">
        <v>584</v>
      </c>
      <c r="J1" s="925"/>
    </row>
    <row r="2" spans="1:70" ht="19.149999999999999" customHeight="1" x14ac:dyDescent="0.25">
      <c r="G2" s="741"/>
      <c r="H2" s="742"/>
      <c r="I2" s="745"/>
      <c r="J2" s="746"/>
      <c r="S2" s="248"/>
      <c r="T2" s="248"/>
      <c r="V2" s="248"/>
      <c r="BR2" t="s">
        <v>743</v>
      </c>
    </row>
    <row r="3" spans="1:70" ht="19.149999999999999" customHeight="1" x14ac:dyDescent="0.25">
      <c r="A3" s="83"/>
      <c r="B3" s="844" t="s">
        <v>747</v>
      </c>
      <c r="C3" s="845"/>
      <c r="D3" s="845"/>
      <c r="E3" s="929"/>
      <c r="F3" s="83"/>
      <c r="G3" s="743"/>
      <c r="H3" s="744"/>
      <c r="I3" s="747"/>
      <c r="J3" s="748"/>
      <c r="K3" s="83"/>
      <c r="S3" s="178"/>
      <c r="T3" s="178"/>
      <c r="U3" s="248"/>
      <c r="V3" s="178"/>
      <c r="W3" s="83"/>
      <c r="X3" s="83"/>
      <c r="Y3" s="83"/>
      <c r="Z3" s="83"/>
      <c r="AA3" s="83"/>
      <c r="AB3" s="83"/>
      <c r="AC3" s="83"/>
      <c r="AD3" s="83"/>
      <c r="AE3" s="83"/>
      <c r="AF3" s="83"/>
      <c r="AG3" s="83"/>
      <c r="AH3" s="83"/>
      <c r="AI3" s="83"/>
      <c r="AJ3" s="83"/>
      <c r="AK3" s="83"/>
      <c r="BR3" t="s">
        <v>672</v>
      </c>
    </row>
    <row r="4" spans="1:70" ht="19.149999999999999" customHeight="1" x14ac:dyDescent="0.25">
      <c r="A4" s="83"/>
      <c r="B4" s="930" t="s">
        <v>572</v>
      </c>
      <c r="C4" s="930"/>
      <c r="D4" s="758">
        <f>+'Plant Overview'!I72+'Plant Overview'!I73</f>
        <v>0</v>
      </c>
      <c r="E4" s="561" t="str">
        <f>+'Plant Overview'!J72</f>
        <v>unit R</v>
      </c>
      <c r="F4" s="83"/>
      <c r="K4" s="83"/>
      <c r="U4" s="178"/>
      <c r="V4" s="178"/>
      <c r="W4" s="83"/>
      <c r="X4" s="83"/>
      <c r="Y4" s="83"/>
      <c r="Z4" s="83"/>
      <c r="AA4" s="83"/>
      <c r="AB4" s="83"/>
      <c r="AC4" s="83"/>
      <c r="AD4" s="83"/>
      <c r="AE4" s="83"/>
      <c r="AF4" s="83"/>
      <c r="AG4" s="83"/>
      <c r="AH4" s="83"/>
      <c r="AI4" s="83"/>
      <c r="AJ4" s="83"/>
      <c r="AK4" s="83"/>
      <c r="BR4" t="s">
        <v>742</v>
      </c>
    </row>
    <row r="5" spans="1:70" ht="19.149999999999999" customHeight="1" x14ac:dyDescent="0.25">
      <c r="A5" s="83"/>
      <c r="B5" s="930" t="s">
        <v>675</v>
      </c>
      <c r="C5" s="930"/>
      <c r="D5" s="758">
        <f>+'Plant Overview'!I33</f>
        <v>0</v>
      </c>
      <c r="E5" s="561" t="str">
        <f>+'Plant Overview'!J33</f>
        <v>unit P</v>
      </c>
      <c r="F5" s="83"/>
      <c r="G5" s="940" t="s">
        <v>751</v>
      </c>
      <c r="H5" s="940"/>
      <c r="I5" s="854" t="s">
        <v>742</v>
      </c>
      <c r="J5" s="855"/>
      <c r="K5" s="83"/>
      <c r="S5" s="178"/>
      <c r="T5" s="178"/>
      <c r="U5" s="178"/>
      <c r="V5" s="178"/>
      <c r="W5" s="83"/>
      <c r="X5" s="83"/>
      <c r="Y5" s="83"/>
      <c r="Z5" s="83"/>
      <c r="AA5" s="83"/>
      <c r="AB5" s="83"/>
      <c r="AC5" s="83"/>
      <c r="AD5" s="83"/>
      <c r="AE5" s="83"/>
      <c r="AF5" s="83"/>
      <c r="AG5" s="83"/>
      <c r="AH5" s="83"/>
      <c r="AI5" s="83"/>
      <c r="AJ5" s="83"/>
      <c r="AK5" s="83"/>
      <c r="BR5" t="s">
        <v>741</v>
      </c>
    </row>
    <row r="6" spans="1:70" ht="19.149999999999999" customHeight="1" x14ac:dyDescent="0.25">
      <c r="A6" s="83"/>
      <c r="B6" s="930" t="s">
        <v>676</v>
      </c>
      <c r="C6" s="930"/>
      <c r="D6" s="758" t="e">
        <f>D5/D4</f>
        <v>#DIV/0!</v>
      </c>
      <c r="E6" s="86" t="str">
        <f>+E5&amp;" / "&amp;E4</f>
        <v>unit P / unit R</v>
      </c>
      <c r="F6" s="83"/>
      <c r="G6" s="935" t="s">
        <v>672</v>
      </c>
      <c r="H6" s="936"/>
      <c r="I6" s="756" t="str">
        <f>+IF(I5="LCOP",D20,"-")</f>
        <v>-</v>
      </c>
      <c r="J6" s="750"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149999999999999" customHeight="1" x14ac:dyDescent="0.25">
      <c r="A7" s="83"/>
      <c r="B7" s="930" t="s">
        <v>591</v>
      </c>
      <c r="C7" s="930"/>
      <c r="D7" s="759" t="e">
        <f ca="1">+'Plant CAPEX'!H13</f>
        <v>#VALUE!</v>
      </c>
      <c r="E7" s="760" t="str">
        <f>+J7</f>
        <v>M€</v>
      </c>
      <c r="F7" s="83"/>
      <c r="G7" s="935" t="s">
        <v>741</v>
      </c>
      <c r="H7" s="936"/>
      <c r="I7" s="751"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149999999999999" customHeight="1" x14ac:dyDescent="0.25">
      <c r="A8" s="83"/>
      <c r="B8" s="937" t="s">
        <v>458</v>
      </c>
      <c r="C8" s="937"/>
      <c r="D8" s="758">
        <f>+'Plant OPEX'!G18</f>
        <v>0</v>
      </c>
      <c r="E8" s="760" t="str">
        <f>+"M"&amp;'Plant Overview'!$E$9&amp;"/y"</f>
        <v>M€/y</v>
      </c>
      <c r="F8" s="83"/>
      <c r="G8" s="935" t="s">
        <v>742</v>
      </c>
      <c r="H8" s="936"/>
      <c r="I8" s="754">
        <f>+IF(I5="IRR",D21,"-")</f>
        <v>0.08</v>
      </c>
      <c r="J8" s="755" t="str">
        <f>+E21</f>
        <v>%</v>
      </c>
      <c r="K8" s="83"/>
      <c r="S8" s="178"/>
      <c r="T8" s="178"/>
      <c r="U8" s="178"/>
      <c r="V8" s="178"/>
      <c r="W8" s="83"/>
      <c r="X8" s="83"/>
      <c r="Y8" s="83"/>
      <c r="Z8" s="83"/>
      <c r="AA8" s="83"/>
      <c r="AB8" s="83"/>
      <c r="AC8" s="83"/>
      <c r="AD8" s="83"/>
      <c r="AE8" s="83"/>
      <c r="AF8" s="83"/>
      <c r="AG8" s="83"/>
      <c r="AH8" s="83"/>
      <c r="AI8" s="83"/>
      <c r="AJ8" s="83"/>
      <c r="AK8" s="83"/>
    </row>
    <row r="9" spans="1:70" ht="19.149999999999999" customHeight="1" x14ac:dyDescent="0.25">
      <c r="A9" s="83"/>
      <c r="B9" s="930" t="str">
        <f>+'Plant OPEX'!I16</f>
        <v>Fuel 1</v>
      </c>
      <c r="C9" s="930"/>
      <c r="D9" s="758">
        <f>+'Plant OPEX'!N16</f>
        <v>0</v>
      </c>
      <c r="E9" s="760" t="str">
        <f>+"M"&amp;'Plant Overview'!$E$9&amp;"/y"</f>
        <v>M€/y</v>
      </c>
      <c r="F9" s="83"/>
      <c r="G9" s="943" t="s">
        <v>748</v>
      </c>
      <c r="H9" s="944"/>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149999999999999" customHeight="1" x14ac:dyDescent="0.25">
      <c r="A10" s="83"/>
      <c r="B10" s="930" t="str">
        <f>+'Plant OPEX'!I17</f>
        <v>Fuel 2</v>
      </c>
      <c r="C10" s="930"/>
      <c r="D10" s="758">
        <f>+'Plant OPEX'!N17</f>
        <v>0</v>
      </c>
      <c r="E10" s="760" t="str">
        <f>+"M"&amp;'Plant Overview'!$E$9&amp;"/y"</f>
        <v>M€/y</v>
      </c>
      <c r="F10" s="83"/>
      <c r="G10" s="943" t="s">
        <v>749</v>
      </c>
      <c r="H10" s="944"/>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149999999999999" customHeight="1" x14ac:dyDescent="0.25">
      <c r="A11" s="83"/>
      <c r="B11" s="930" t="s">
        <v>459</v>
      </c>
      <c r="C11" s="930"/>
      <c r="D11" s="758">
        <f>+'Plant OPEX'!U18</f>
        <v>0</v>
      </c>
      <c r="E11" s="760" t="str">
        <f>+"M"&amp;'Plant Overview'!$E$9&amp;"/y"</f>
        <v>M€/y</v>
      </c>
      <c r="F11" s="83"/>
      <c r="G11" s="938" t="s">
        <v>692</v>
      </c>
      <c r="H11" s="939"/>
      <c r="I11" s="577" t="str">
        <f>+IF(I5="LCOP",IF(I15="","Ref.",(I6-I16)/(I15-H15)),"-")</f>
        <v>-</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149999999999999" customHeight="1" x14ac:dyDescent="0.25">
      <c r="A13" s="83"/>
      <c r="B13" s="931" t="s">
        <v>639</v>
      </c>
      <c r="C13" s="932"/>
      <c r="D13" s="932"/>
      <c r="E13" s="933"/>
      <c r="F13" s="83"/>
      <c r="G13" s="931" t="s">
        <v>750</v>
      </c>
      <c r="H13" s="932"/>
      <c r="I13" s="932"/>
      <c r="J13" s="933"/>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149999999999999" customHeight="1" x14ac:dyDescent="0.25">
      <c r="A14" s="83"/>
      <c r="B14" s="934" t="s">
        <v>460</v>
      </c>
      <c r="C14" s="934"/>
      <c r="D14" s="647">
        <v>0.65</v>
      </c>
      <c r="E14" s="86" t="s">
        <v>354</v>
      </c>
      <c r="F14" s="83"/>
      <c r="G14" s="753"/>
      <c r="H14" s="757" t="str">
        <f>+'Plant Overview'!E6</f>
        <v>Plant A</v>
      </c>
      <c r="I14" s="576"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149999999999999" customHeight="1" x14ac:dyDescent="0.25">
      <c r="A15" s="83"/>
      <c r="B15" s="934" t="s">
        <v>461</v>
      </c>
      <c r="C15" s="934"/>
      <c r="D15" s="647">
        <v>0.85</v>
      </c>
      <c r="E15" s="86" t="s">
        <v>354</v>
      </c>
      <c r="F15" s="83"/>
      <c r="G15" s="761" t="s">
        <v>695</v>
      </c>
      <c r="H15" s="752" t="e">
        <f>+('Plant Overview'!I33/'Plant Overview'!I53)^-1</f>
        <v>#DIV/0!</v>
      </c>
      <c r="I15" s="651"/>
      <c r="J15" s="563" t="str">
        <f>+"tCO2/"&amp;'Plant Overview'!J33</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149999999999999" customHeight="1" x14ac:dyDescent="0.25">
      <c r="A16" s="83"/>
      <c r="B16" s="946" t="s">
        <v>638</v>
      </c>
      <c r="C16" s="946"/>
      <c r="D16" s="648">
        <v>25</v>
      </c>
      <c r="E16" s="86" t="s">
        <v>452</v>
      </c>
      <c r="F16" s="83"/>
      <c r="G16" s="761" t="str">
        <f>+G6</f>
        <v>LCOP</v>
      </c>
      <c r="H16" s="562" t="str">
        <f>+IF(I5="LCOP",SUM(H17:H22),"-")</f>
        <v>-</v>
      </c>
      <c r="I16" s="651"/>
      <c r="J16" s="563"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149999999999999" customHeight="1" x14ac:dyDescent="0.25">
      <c r="A17" s="83"/>
      <c r="B17" s="946" t="s">
        <v>439</v>
      </c>
      <c r="C17" s="946"/>
      <c r="D17" s="649">
        <v>4</v>
      </c>
      <c r="E17" s="86" t="s">
        <v>452</v>
      </c>
      <c r="F17" s="83"/>
      <c r="G17" s="208" t="str">
        <f>+B29</f>
        <v>Capital</v>
      </c>
      <c r="H17" s="497" t="str">
        <f>+IF(I5="LCOP",SUMPRODUCT(C29:AT29,C36:AT36)/SUMPRODUCT(C27:AT27,C36:AT36)*I6,"-")</f>
        <v>-</v>
      </c>
      <c r="I17" s="652"/>
      <c r="J17" s="762"/>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4" t="str">
        <f>+B30</f>
        <v>FOM</v>
      </c>
      <c r="H18" s="498" t="str">
        <f>+IF(I5="LCOP",SUMPRODUCT(C30:AT30,C36:AT36)/SUMPRODUCT(C27:AT27,C36:AT36)*I6,"-")</f>
        <v>-</v>
      </c>
      <c r="I18" s="653"/>
      <c r="J18" s="76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931" t="s">
        <v>746</v>
      </c>
      <c r="C19" s="932"/>
      <c r="D19" s="932"/>
      <c r="E19" s="933"/>
      <c r="F19" s="83"/>
      <c r="G19" s="194" t="str">
        <f>+B34</f>
        <v>VOM</v>
      </c>
      <c r="H19" s="498" t="str">
        <f>+IF(I5="LCOP",SUMPRODUCT(C34:AJ34,C36:AJ36)/SUMPRODUCT(C27:AJ27,C36:AJ36)*I6,"-")</f>
        <v>-</v>
      </c>
      <c r="I19" s="653"/>
      <c r="J19" s="763"/>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945" t="s">
        <v>744</v>
      </c>
      <c r="C20" s="945"/>
      <c r="D20" s="86">
        <v>1.5</v>
      </c>
      <c r="E20" s="86" t="str">
        <f>+J6</f>
        <v>€/unit P</v>
      </c>
      <c r="F20" s="83"/>
      <c r="G20" s="194" t="str">
        <f>+B33</f>
        <v>CO2 tax</v>
      </c>
      <c r="H20" s="498" t="str">
        <f>+IF(I5="LCOP",SUMPRODUCT(C33:AT33,C37:AT37)/SUMPRODUCT(C27:AT27,C37:AT37)*I6,"-")</f>
        <v>-</v>
      </c>
      <c r="I20" s="653"/>
      <c r="J20" s="763"/>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934" t="s">
        <v>440</v>
      </c>
      <c r="C21" s="934"/>
      <c r="D21" s="650">
        <v>0.08</v>
      </c>
      <c r="E21" s="740" t="s">
        <v>457</v>
      </c>
      <c r="F21" s="83"/>
      <c r="G21" s="194" t="str">
        <f>+B31</f>
        <v>Fuel 1</v>
      </c>
      <c r="H21" s="498" t="str">
        <f>+IF(I5="LCOP",SUMPRODUCT(C31:AJ31,C37:AJ37)/SUMPRODUCT(C27:AJ27,C37:AJ37)*I6,"-")</f>
        <v>-</v>
      </c>
      <c r="I21" s="653"/>
      <c r="J21" s="763"/>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941" t="s">
        <v>745</v>
      </c>
      <c r="C22" s="942"/>
      <c r="D22" s="86" t="e">
        <f ca="1">HLOOKUP(D16,C24:AT39,16)</f>
        <v>#VALUE!</v>
      </c>
      <c r="E22" s="86" t="str">
        <f>+E7</f>
        <v>M€</v>
      </c>
      <c r="F22" s="83"/>
      <c r="G22" s="195" t="str">
        <f>+B32</f>
        <v>Fuel 2</v>
      </c>
      <c r="H22" s="765" t="str">
        <f>+IF(I5="LCOP",SUMPRODUCT(C32:AT32,C37:AT37)/SUMPRODUCT(C27:AT27,C37:AT37)*I6,"-")</f>
        <v>-</v>
      </c>
      <c r="I22" s="766"/>
      <c r="J22" s="764"/>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99" t="s">
        <v>315</v>
      </c>
      <c r="C24" s="668">
        <v>-4</v>
      </c>
      <c r="D24" s="669">
        <v>-3</v>
      </c>
      <c r="E24" s="669">
        <v>-2</v>
      </c>
      <c r="F24" s="670">
        <v>-1</v>
      </c>
      <c r="G24" s="669">
        <v>1</v>
      </c>
      <c r="H24" s="669">
        <v>2</v>
      </c>
      <c r="I24" s="669">
        <v>3</v>
      </c>
      <c r="J24" s="669">
        <v>4</v>
      </c>
      <c r="K24" s="669">
        <v>5</v>
      </c>
      <c r="L24" s="669">
        <v>6</v>
      </c>
      <c r="M24" s="669">
        <v>7</v>
      </c>
      <c r="N24" s="669">
        <v>8</v>
      </c>
      <c r="O24" s="669">
        <v>9</v>
      </c>
      <c r="P24" s="669">
        <v>10</v>
      </c>
      <c r="Q24" s="669">
        <v>11</v>
      </c>
      <c r="R24" s="669">
        <v>12</v>
      </c>
      <c r="S24" s="669">
        <v>13</v>
      </c>
      <c r="T24" s="669">
        <v>14</v>
      </c>
      <c r="U24" s="669">
        <v>15</v>
      </c>
      <c r="V24" s="669">
        <v>16</v>
      </c>
      <c r="W24" s="669">
        <v>17</v>
      </c>
      <c r="X24" s="669">
        <v>18</v>
      </c>
      <c r="Y24" s="669">
        <v>19</v>
      </c>
      <c r="Z24" s="669">
        <v>20</v>
      </c>
      <c r="AA24" s="669">
        <v>21</v>
      </c>
      <c r="AB24" s="669">
        <v>22</v>
      </c>
      <c r="AC24" s="669">
        <v>23</v>
      </c>
      <c r="AD24" s="669">
        <v>24</v>
      </c>
      <c r="AE24" s="669">
        <v>25</v>
      </c>
      <c r="AF24" s="669">
        <v>26</v>
      </c>
      <c r="AG24" s="669">
        <v>27</v>
      </c>
      <c r="AH24" s="669">
        <v>28</v>
      </c>
      <c r="AI24" s="669">
        <v>29</v>
      </c>
      <c r="AJ24" s="669">
        <v>30</v>
      </c>
      <c r="AK24" s="669">
        <v>31</v>
      </c>
      <c r="AL24" s="669">
        <v>32</v>
      </c>
      <c r="AM24" s="669">
        <v>33</v>
      </c>
      <c r="AN24" s="669">
        <v>34</v>
      </c>
      <c r="AO24" s="669">
        <v>35</v>
      </c>
      <c r="AP24" s="669">
        <v>36</v>
      </c>
      <c r="AQ24" s="669">
        <v>37</v>
      </c>
      <c r="AR24" s="669">
        <v>38</v>
      </c>
      <c r="AS24" s="669">
        <v>39</v>
      </c>
      <c r="AT24" s="670">
        <v>40</v>
      </c>
      <c r="AU24" s="492"/>
      <c r="AV24" s="492"/>
    </row>
    <row r="25" spans="1:48" ht="19.149999999999999" customHeight="1" x14ac:dyDescent="0.25">
      <c r="A25" s="83"/>
      <c r="B25" s="665" t="s">
        <v>443</v>
      </c>
      <c r="C25" s="666"/>
      <c r="D25" s="666"/>
      <c r="E25" s="666"/>
      <c r="F25" s="666"/>
      <c r="G25" s="736">
        <f>+D14</f>
        <v>0.65</v>
      </c>
      <c r="H25" s="737">
        <f t="shared" ref="H25:AT25" si="0">+IF(H24&lt;=$D$16,$D$15,0)</f>
        <v>0.85</v>
      </c>
      <c r="I25" s="737">
        <f t="shared" si="0"/>
        <v>0.85</v>
      </c>
      <c r="J25" s="737">
        <f t="shared" si="0"/>
        <v>0.85</v>
      </c>
      <c r="K25" s="737">
        <f t="shared" si="0"/>
        <v>0.85</v>
      </c>
      <c r="L25" s="737">
        <f t="shared" si="0"/>
        <v>0.85</v>
      </c>
      <c r="M25" s="737">
        <f t="shared" si="0"/>
        <v>0.85</v>
      </c>
      <c r="N25" s="737">
        <f t="shared" si="0"/>
        <v>0.85</v>
      </c>
      <c r="O25" s="737">
        <f t="shared" si="0"/>
        <v>0.85</v>
      </c>
      <c r="P25" s="737">
        <f t="shared" si="0"/>
        <v>0.85</v>
      </c>
      <c r="Q25" s="737">
        <f t="shared" si="0"/>
        <v>0.85</v>
      </c>
      <c r="R25" s="737">
        <f t="shared" si="0"/>
        <v>0.85</v>
      </c>
      <c r="S25" s="737">
        <f t="shared" si="0"/>
        <v>0.85</v>
      </c>
      <c r="T25" s="737">
        <f t="shared" si="0"/>
        <v>0.85</v>
      </c>
      <c r="U25" s="737">
        <f t="shared" si="0"/>
        <v>0.85</v>
      </c>
      <c r="V25" s="737">
        <f t="shared" si="0"/>
        <v>0.85</v>
      </c>
      <c r="W25" s="737">
        <f t="shared" si="0"/>
        <v>0.85</v>
      </c>
      <c r="X25" s="737">
        <f t="shared" si="0"/>
        <v>0.85</v>
      </c>
      <c r="Y25" s="737">
        <f t="shared" si="0"/>
        <v>0.85</v>
      </c>
      <c r="Z25" s="737">
        <f t="shared" si="0"/>
        <v>0.85</v>
      </c>
      <c r="AA25" s="737">
        <f t="shared" si="0"/>
        <v>0.85</v>
      </c>
      <c r="AB25" s="737">
        <f t="shared" si="0"/>
        <v>0.85</v>
      </c>
      <c r="AC25" s="737">
        <f t="shared" si="0"/>
        <v>0.85</v>
      </c>
      <c r="AD25" s="737">
        <f t="shared" si="0"/>
        <v>0.85</v>
      </c>
      <c r="AE25" s="737">
        <f t="shared" si="0"/>
        <v>0.85</v>
      </c>
      <c r="AF25" s="737">
        <f t="shared" si="0"/>
        <v>0</v>
      </c>
      <c r="AG25" s="737">
        <f t="shared" si="0"/>
        <v>0</v>
      </c>
      <c r="AH25" s="737">
        <f t="shared" si="0"/>
        <v>0</v>
      </c>
      <c r="AI25" s="737">
        <f t="shared" si="0"/>
        <v>0</v>
      </c>
      <c r="AJ25" s="737">
        <f t="shared" si="0"/>
        <v>0</v>
      </c>
      <c r="AK25" s="737">
        <f t="shared" si="0"/>
        <v>0</v>
      </c>
      <c r="AL25" s="737">
        <f t="shared" si="0"/>
        <v>0</v>
      </c>
      <c r="AM25" s="737">
        <f t="shared" si="0"/>
        <v>0</v>
      </c>
      <c r="AN25" s="737">
        <f t="shared" si="0"/>
        <v>0</v>
      </c>
      <c r="AO25" s="737">
        <f t="shared" si="0"/>
        <v>0</v>
      </c>
      <c r="AP25" s="737">
        <f t="shared" si="0"/>
        <v>0</v>
      </c>
      <c r="AQ25" s="737">
        <f t="shared" si="0"/>
        <v>0</v>
      </c>
      <c r="AR25" s="737">
        <f t="shared" si="0"/>
        <v>0</v>
      </c>
      <c r="AS25" s="737">
        <f t="shared" si="0"/>
        <v>0</v>
      </c>
      <c r="AT25" s="738">
        <f t="shared" si="0"/>
        <v>0</v>
      </c>
      <c r="AV25" s="92"/>
    </row>
    <row r="26" spans="1:48" ht="19.149999999999999" customHeight="1" x14ac:dyDescent="0.25">
      <c r="A26" s="83"/>
      <c r="B26" s="749" t="s">
        <v>442</v>
      </c>
      <c r="C26" s="333"/>
      <c r="D26" s="333"/>
      <c r="E26" s="333"/>
      <c r="F26" s="333"/>
      <c r="G26" s="654"/>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149999999999999" customHeight="1" x14ac:dyDescent="0.25">
      <c r="A27" s="83"/>
      <c r="B27" s="664" t="s">
        <v>673</v>
      </c>
      <c r="C27" s="597"/>
      <c r="D27" s="597"/>
      <c r="E27" s="597"/>
      <c r="F27" s="597"/>
      <c r="G27" s="733">
        <f>365.25*24*G25*$D$20*3600*'Plant Overview'!$I$33/10^6</f>
        <v>0</v>
      </c>
      <c r="H27" s="734">
        <f>365.25*24*H25*$D$20*3600*'Plant Overview'!$I$33/10^6</f>
        <v>0</v>
      </c>
      <c r="I27" s="734">
        <f>365.25*24*I25*$D$20*3600*'Plant Overview'!$I$33/10^6</f>
        <v>0</v>
      </c>
      <c r="J27" s="734">
        <f>365.25*24*J25*$D$20*3600*'Plant Overview'!$I$33/10^6</f>
        <v>0</v>
      </c>
      <c r="K27" s="734">
        <f>365.25*24*K25*$D$20*3600*'Plant Overview'!$I$33/10^6</f>
        <v>0</v>
      </c>
      <c r="L27" s="734">
        <f>365.25*24*L25*$D$20*3600*'Plant Overview'!$I$33/10^6</f>
        <v>0</v>
      </c>
      <c r="M27" s="734">
        <f>365.25*24*M25*$D$20*3600*'Plant Overview'!$I$33/10^6</f>
        <v>0</v>
      </c>
      <c r="N27" s="734">
        <f>365.25*24*N25*$D$20*3600*'Plant Overview'!$I$33/10^6</f>
        <v>0</v>
      </c>
      <c r="O27" s="734">
        <f>365.25*24*O25*$D$20*3600*'Plant Overview'!$I$33/10^6</f>
        <v>0</v>
      </c>
      <c r="P27" s="734">
        <f>365.25*24*P25*$D$20*3600*'Plant Overview'!$I$33/10^6</f>
        <v>0</v>
      </c>
      <c r="Q27" s="734">
        <f>365.25*24*Q25*$D$20*3600*'Plant Overview'!$I$33/10^6</f>
        <v>0</v>
      </c>
      <c r="R27" s="734">
        <f>365.25*24*R25*$D$20*3600*'Plant Overview'!$I$33/10^6</f>
        <v>0</v>
      </c>
      <c r="S27" s="734">
        <f>365.25*24*S25*$D$20*3600*'Plant Overview'!$I$33/10^6</f>
        <v>0</v>
      </c>
      <c r="T27" s="734">
        <f>365.25*24*T25*$D$20*3600*'Plant Overview'!$I$33/10^6</f>
        <v>0</v>
      </c>
      <c r="U27" s="734">
        <f>365.25*24*U25*$D$20*3600*'Plant Overview'!$I$33/10^6</f>
        <v>0</v>
      </c>
      <c r="V27" s="734">
        <f>365.25*24*V25*$D$20*3600*'Plant Overview'!$I$33/10^6</f>
        <v>0</v>
      </c>
      <c r="W27" s="734">
        <f>365.25*24*W25*$D$20*3600*'Plant Overview'!$I$33/10^6</f>
        <v>0</v>
      </c>
      <c r="X27" s="734">
        <f>365.25*24*X25*$D$20*3600*'Plant Overview'!$I$33/10^6</f>
        <v>0</v>
      </c>
      <c r="Y27" s="734">
        <f>365.25*24*Y25*$D$20*3600*'Plant Overview'!$I$33/10^6</f>
        <v>0</v>
      </c>
      <c r="Z27" s="734">
        <f>365.25*24*Z25*$D$20*3600*'Plant Overview'!$I$33/10^6</f>
        <v>0</v>
      </c>
      <c r="AA27" s="734">
        <f>365.25*24*AA25*$D$20*3600*'Plant Overview'!$I$33/10^6</f>
        <v>0</v>
      </c>
      <c r="AB27" s="734">
        <f>365.25*24*AB25*$D$20*3600*'Plant Overview'!$I$33/10^6</f>
        <v>0</v>
      </c>
      <c r="AC27" s="734">
        <f>365.25*24*AC25*$D$20*3600*'Plant Overview'!$I$33/10^6</f>
        <v>0</v>
      </c>
      <c r="AD27" s="734">
        <f>365.25*24*AD25*$D$20*3600*'Plant Overview'!$I$33/10^6</f>
        <v>0</v>
      </c>
      <c r="AE27" s="734">
        <f>365.25*24*AE25*$D$20*3600*'Plant Overview'!$I$33/10^6</f>
        <v>0</v>
      </c>
      <c r="AF27" s="734">
        <f>365.25*24*AF25*$D$20*3600*'Plant Overview'!$I$33/10^6</f>
        <v>0</v>
      </c>
      <c r="AG27" s="734">
        <f>365.25*24*AG25*$D$20*3600*'Plant Overview'!$I$33/10^6</f>
        <v>0</v>
      </c>
      <c r="AH27" s="734">
        <f>365.25*24*AH25*$D$20*3600*'Plant Overview'!$I$33/10^6</f>
        <v>0</v>
      </c>
      <c r="AI27" s="734">
        <f>365.25*24*AI25*$D$20*3600*'Plant Overview'!$I$33/10^6</f>
        <v>0</v>
      </c>
      <c r="AJ27" s="734">
        <f>365.25*24*AJ25*$D$20*3600*'Plant Overview'!$I$33/10^6</f>
        <v>0</v>
      </c>
      <c r="AK27" s="734">
        <f>365.25*24*AK25*$D$20*3600*'Plant Overview'!$I$33/10^6</f>
        <v>0</v>
      </c>
      <c r="AL27" s="734">
        <f>365.25*24*AL25*$D$20*3600*'Plant Overview'!$I$33/10^6</f>
        <v>0</v>
      </c>
      <c r="AM27" s="734">
        <f>365.25*24*AM25*$D$20*3600*'Plant Overview'!$I$33/10^6</f>
        <v>0</v>
      </c>
      <c r="AN27" s="734">
        <f>365.25*24*AN25*$D$20*3600*'Plant Overview'!$I$33/10^6</f>
        <v>0</v>
      </c>
      <c r="AO27" s="734">
        <f>365.25*24*AO25*$D$20*3600*'Plant Overview'!$I$33/10^6</f>
        <v>0</v>
      </c>
      <c r="AP27" s="734">
        <f>365.25*24*AP25*$D$20*3600*'Plant Overview'!$I$33/10^6</f>
        <v>0</v>
      </c>
      <c r="AQ27" s="734">
        <f>365.25*24*AQ25*$D$20*3600*'Plant Overview'!$I$33/10^6</f>
        <v>0</v>
      </c>
      <c r="AR27" s="734">
        <f>365.25*24*AR25*$D$20*3600*'Plant Overview'!$I$33/10^6</f>
        <v>0</v>
      </c>
      <c r="AS27" s="734">
        <f>365.25*24*AS25*$D$20*3600*'Plant Overview'!$I$33/10^6</f>
        <v>0</v>
      </c>
      <c r="AT27" s="735">
        <f>365.25*24*AT25*$D$20*3600*'Plant Overview'!$I$33/10^6</f>
        <v>0</v>
      </c>
    </row>
    <row r="28" spans="1:48" ht="19.149999999999999" customHeight="1" x14ac:dyDescent="0.25">
      <c r="A28" s="83"/>
      <c r="B28" s="729" t="s">
        <v>444</v>
      </c>
      <c r="C28" s="667"/>
      <c r="D28" s="589"/>
      <c r="E28" s="589"/>
      <c r="F28" s="589"/>
      <c r="G28" s="590"/>
      <c r="H28" s="591"/>
      <c r="I28" s="591"/>
      <c r="J28" s="591"/>
      <c r="K28" s="591"/>
      <c r="L28" s="591"/>
      <c r="M28" s="591"/>
      <c r="N28" s="591"/>
      <c r="O28" s="591"/>
      <c r="P28" s="591"/>
      <c r="Q28" s="591"/>
      <c r="R28" s="591"/>
      <c r="S28" s="591"/>
      <c r="T28" s="591"/>
      <c r="U28" s="591"/>
      <c r="V28" s="591"/>
      <c r="W28" s="591"/>
      <c r="X28" s="591"/>
      <c r="Y28" s="591"/>
      <c r="Z28" s="591"/>
      <c r="AA28" s="591"/>
      <c r="AB28" s="591"/>
      <c r="AC28" s="591"/>
      <c r="AD28" s="591"/>
      <c r="AE28" s="591"/>
      <c r="AF28" s="551"/>
      <c r="AG28" s="551"/>
      <c r="AH28" s="551"/>
      <c r="AI28" s="551"/>
      <c r="AJ28" s="551"/>
      <c r="AK28" s="593"/>
      <c r="AL28" s="594"/>
      <c r="AM28" s="594"/>
      <c r="AN28" s="594"/>
      <c r="AO28" s="594"/>
      <c r="AP28" s="594"/>
      <c r="AQ28" s="594"/>
      <c r="AR28" s="594"/>
      <c r="AS28" s="594"/>
      <c r="AT28" s="595"/>
    </row>
    <row r="29" spans="1:48" ht="19.149999999999999" customHeight="1" x14ac:dyDescent="0.25">
      <c r="A29" s="83"/>
      <c r="B29" s="662" t="s">
        <v>438</v>
      </c>
      <c r="C29" s="591" t="e">
        <f ca="1">IF($D$17&gt;3,$D$7/$D$17,0)</f>
        <v>#VALUE!</v>
      </c>
      <c r="D29" s="591" t="e">
        <f ca="1">IF($D$17&gt;2,$D$7/$D$17,0)</f>
        <v>#VALUE!</v>
      </c>
      <c r="E29" s="591" t="e">
        <f ca="1">IF($D$17&gt;1,$D$7/$D$17,0)</f>
        <v>#VALUE!</v>
      </c>
      <c r="F29" s="591" t="e">
        <f ca="1">$D$7/$D$17</f>
        <v>#VALUE!</v>
      </c>
      <c r="G29" s="590"/>
      <c r="H29" s="591"/>
      <c r="I29" s="591"/>
      <c r="J29" s="591"/>
      <c r="K29" s="591"/>
      <c r="L29" s="591"/>
      <c r="M29" s="591"/>
      <c r="N29" s="591"/>
      <c r="O29" s="591"/>
      <c r="P29" s="591"/>
      <c r="Q29" s="591"/>
      <c r="R29" s="591"/>
      <c r="S29" s="591"/>
      <c r="T29" s="591"/>
      <c r="U29" s="591"/>
      <c r="V29" s="591"/>
      <c r="W29" s="591"/>
      <c r="X29" s="591"/>
      <c r="Y29" s="591"/>
      <c r="Z29" s="591"/>
      <c r="AA29" s="591"/>
      <c r="AB29" s="591"/>
      <c r="AC29" s="591"/>
      <c r="AD29" s="591"/>
      <c r="AE29" s="591"/>
      <c r="AF29" s="551"/>
      <c r="AG29" s="551"/>
      <c r="AH29" s="551"/>
      <c r="AI29" s="551"/>
      <c r="AJ29" s="551"/>
      <c r="AK29" s="593"/>
      <c r="AL29" s="594"/>
      <c r="AM29" s="594"/>
      <c r="AN29" s="594"/>
      <c r="AO29" s="594"/>
      <c r="AP29" s="594"/>
      <c r="AQ29" s="594"/>
      <c r="AR29" s="594"/>
      <c r="AS29" s="594"/>
      <c r="AT29" s="595"/>
    </row>
    <row r="30" spans="1:48" ht="19.149999999999999" customHeight="1" x14ac:dyDescent="0.25">
      <c r="A30" s="83"/>
      <c r="B30" s="663" t="s">
        <v>458</v>
      </c>
      <c r="C30" s="591"/>
      <c r="D30" s="591"/>
      <c r="E30" s="591"/>
      <c r="F30" s="591"/>
      <c r="G30" s="672">
        <f>+$D$8</f>
        <v>0</v>
      </c>
      <c r="H30" s="671">
        <f t="shared" ref="H30:AT30" si="1">+IF(H24&lt;=$D$16,$D$8,0)</f>
        <v>0</v>
      </c>
      <c r="I30" s="671">
        <f t="shared" si="1"/>
        <v>0</v>
      </c>
      <c r="J30" s="671">
        <f t="shared" si="1"/>
        <v>0</v>
      </c>
      <c r="K30" s="671">
        <f t="shared" si="1"/>
        <v>0</v>
      </c>
      <c r="L30" s="671">
        <f t="shared" si="1"/>
        <v>0</v>
      </c>
      <c r="M30" s="671">
        <f t="shared" si="1"/>
        <v>0</v>
      </c>
      <c r="N30" s="671">
        <f t="shared" si="1"/>
        <v>0</v>
      </c>
      <c r="O30" s="671">
        <f t="shared" si="1"/>
        <v>0</v>
      </c>
      <c r="P30" s="671">
        <f t="shared" si="1"/>
        <v>0</v>
      </c>
      <c r="Q30" s="671">
        <f t="shared" si="1"/>
        <v>0</v>
      </c>
      <c r="R30" s="671">
        <f t="shared" si="1"/>
        <v>0</v>
      </c>
      <c r="S30" s="671">
        <f t="shared" si="1"/>
        <v>0</v>
      </c>
      <c r="T30" s="671">
        <f t="shared" si="1"/>
        <v>0</v>
      </c>
      <c r="U30" s="671">
        <f t="shared" si="1"/>
        <v>0</v>
      </c>
      <c r="V30" s="671">
        <f t="shared" si="1"/>
        <v>0</v>
      </c>
      <c r="W30" s="671">
        <f t="shared" si="1"/>
        <v>0</v>
      </c>
      <c r="X30" s="671">
        <f t="shared" si="1"/>
        <v>0</v>
      </c>
      <c r="Y30" s="671">
        <f t="shared" si="1"/>
        <v>0</v>
      </c>
      <c r="Z30" s="671">
        <f t="shared" si="1"/>
        <v>0</v>
      </c>
      <c r="AA30" s="671">
        <f t="shared" si="1"/>
        <v>0</v>
      </c>
      <c r="AB30" s="671">
        <f t="shared" si="1"/>
        <v>0</v>
      </c>
      <c r="AC30" s="671">
        <f t="shared" si="1"/>
        <v>0</v>
      </c>
      <c r="AD30" s="671">
        <f t="shared" si="1"/>
        <v>0</v>
      </c>
      <c r="AE30" s="671">
        <f t="shared" si="1"/>
        <v>0</v>
      </c>
      <c r="AF30" s="671">
        <f t="shared" si="1"/>
        <v>0</v>
      </c>
      <c r="AG30" s="671">
        <f t="shared" si="1"/>
        <v>0</v>
      </c>
      <c r="AH30" s="671">
        <f t="shared" si="1"/>
        <v>0</v>
      </c>
      <c r="AI30" s="671">
        <f t="shared" si="1"/>
        <v>0</v>
      </c>
      <c r="AJ30" s="671">
        <f t="shared" si="1"/>
        <v>0</v>
      </c>
      <c r="AK30" s="671">
        <f t="shared" si="1"/>
        <v>0</v>
      </c>
      <c r="AL30" s="671">
        <f t="shared" si="1"/>
        <v>0</v>
      </c>
      <c r="AM30" s="671">
        <f t="shared" si="1"/>
        <v>0</v>
      </c>
      <c r="AN30" s="671">
        <f t="shared" si="1"/>
        <v>0</v>
      </c>
      <c r="AO30" s="671">
        <f t="shared" si="1"/>
        <v>0</v>
      </c>
      <c r="AP30" s="671">
        <f t="shared" si="1"/>
        <v>0</v>
      </c>
      <c r="AQ30" s="671">
        <f t="shared" si="1"/>
        <v>0</v>
      </c>
      <c r="AR30" s="671">
        <f t="shared" si="1"/>
        <v>0</v>
      </c>
      <c r="AS30" s="671">
        <f t="shared" si="1"/>
        <v>0</v>
      </c>
      <c r="AT30" s="673">
        <f t="shared" si="1"/>
        <v>0</v>
      </c>
    </row>
    <row r="31" spans="1:48" ht="19.149999999999999" customHeight="1" x14ac:dyDescent="0.25">
      <c r="A31" s="83"/>
      <c r="B31" s="662" t="str">
        <f>+B9</f>
        <v>Fuel 1</v>
      </c>
      <c r="C31" s="591"/>
      <c r="D31" s="591"/>
      <c r="E31" s="591"/>
      <c r="F31" s="591"/>
      <c r="G31" s="672">
        <f t="shared" ref="G31:AT31" si="2">+$D$9*G25</f>
        <v>0</v>
      </c>
      <c r="H31" s="671">
        <f t="shared" si="2"/>
        <v>0</v>
      </c>
      <c r="I31" s="671">
        <f t="shared" si="2"/>
        <v>0</v>
      </c>
      <c r="J31" s="671">
        <f t="shared" si="2"/>
        <v>0</v>
      </c>
      <c r="K31" s="671">
        <f t="shared" si="2"/>
        <v>0</v>
      </c>
      <c r="L31" s="671">
        <f t="shared" si="2"/>
        <v>0</v>
      </c>
      <c r="M31" s="671">
        <f t="shared" si="2"/>
        <v>0</v>
      </c>
      <c r="N31" s="671">
        <f t="shared" si="2"/>
        <v>0</v>
      </c>
      <c r="O31" s="671">
        <f t="shared" si="2"/>
        <v>0</v>
      </c>
      <c r="P31" s="671">
        <f t="shared" si="2"/>
        <v>0</v>
      </c>
      <c r="Q31" s="671">
        <f t="shared" si="2"/>
        <v>0</v>
      </c>
      <c r="R31" s="671">
        <f t="shared" si="2"/>
        <v>0</v>
      </c>
      <c r="S31" s="671">
        <f t="shared" si="2"/>
        <v>0</v>
      </c>
      <c r="T31" s="671">
        <f t="shared" si="2"/>
        <v>0</v>
      </c>
      <c r="U31" s="671">
        <f t="shared" si="2"/>
        <v>0</v>
      </c>
      <c r="V31" s="671">
        <f t="shared" si="2"/>
        <v>0</v>
      </c>
      <c r="W31" s="671">
        <f t="shared" si="2"/>
        <v>0</v>
      </c>
      <c r="X31" s="671">
        <f t="shared" si="2"/>
        <v>0</v>
      </c>
      <c r="Y31" s="671">
        <f t="shared" si="2"/>
        <v>0</v>
      </c>
      <c r="Z31" s="671">
        <f t="shared" si="2"/>
        <v>0</v>
      </c>
      <c r="AA31" s="671">
        <f t="shared" si="2"/>
        <v>0</v>
      </c>
      <c r="AB31" s="671">
        <f t="shared" si="2"/>
        <v>0</v>
      </c>
      <c r="AC31" s="671">
        <f t="shared" si="2"/>
        <v>0</v>
      </c>
      <c r="AD31" s="671">
        <f t="shared" si="2"/>
        <v>0</v>
      </c>
      <c r="AE31" s="671">
        <f t="shared" si="2"/>
        <v>0</v>
      </c>
      <c r="AF31" s="671">
        <f t="shared" si="2"/>
        <v>0</v>
      </c>
      <c r="AG31" s="671">
        <f t="shared" si="2"/>
        <v>0</v>
      </c>
      <c r="AH31" s="671">
        <f t="shared" si="2"/>
        <v>0</v>
      </c>
      <c r="AI31" s="671">
        <f t="shared" si="2"/>
        <v>0</v>
      </c>
      <c r="AJ31" s="671">
        <f t="shared" si="2"/>
        <v>0</v>
      </c>
      <c r="AK31" s="671">
        <f t="shared" si="2"/>
        <v>0</v>
      </c>
      <c r="AL31" s="671">
        <f t="shared" si="2"/>
        <v>0</v>
      </c>
      <c r="AM31" s="671">
        <f t="shared" si="2"/>
        <v>0</v>
      </c>
      <c r="AN31" s="671">
        <f t="shared" si="2"/>
        <v>0</v>
      </c>
      <c r="AO31" s="671">
        <f t="shared" si="2"/>
        <v>0</v>
      </c>
      <c r="AP31" s="671">
        <f t="shared" si="2"/>
        <v>0</v>
      </c>
      <c r="AQ31" s="671">
        <f t="shared" si="2"/>
        <v>0</v>
      </c>
      <c r="AR31" s="671">
        <f t="shared" si="2"/>
        <v>0</v>
      </c>
      <c r="AS31" s="671">
        <f t="shared" si="2"/>
        <v>0</v>
      </c>
      <c r="AT31" s="673">
        <f t="shared" si="2"/>
        <v>0</v>
      </c>
    </row>
    <row r="32" spans="1:48" ht="19.149999999999999" customHeight="1" x14ac:dyDescent="0.25">
      <c r="A32" s="83"/>
      <c r="B32" s="662" t="str">
        <f>+B10</f>
        <v>Fuel 2</v>
      </c>
      <c r="C32" s="591"/>
      <c r="D32" s="591"/>
      <c r="E32" s="591"/>
      <c r="F32" s="591"/>
      <c r="G32" s="672">
        <f t="shared" ref="G32:AT32" si="3">+$D$10*G25</f>
        <v>0</v>
      </c>
      <c r="H32" s="671">
        <f t="shared" si="3"/>
        <v>0</v>
      </c>
      <c r="I32" s="671">
        <f t="shared" si="3"/>
        <v>0</v>
      </c>
      <c r="J32" s="671">
        <f t="shared" si="3"/>
        <v>0</v>
      </c>
      <c r="K32" s="671">
        <f t="shared" si="3"/>
        <v>0</v>
      </c>
      <c r="L32" s="671">
        <f t="shared" si="3"/>
        <v>0</v>
      </c>
      <c r="M32" s="671">
        <f t="shared" si="3"/>
        <v>0</v>
      </c>
      <c r="N32" s="671">
        <f t="shared" si="3"/>
        <v>0</v>
      </c>
      <c r="O32" s="671">
        <f t="shared" si="3"/>
        <v>0</v>
      </c>
      <c r="P32" s="671">
        <f t="shared" si="3"/>
        <v>0</v>
      </c>
      <c r="Q32" s="671">
        <f t="shared" si="3"/>
        <v>0</v>
      </c>
      <c r="R32" s="671">
        <f t="shared" si="3"/>
        <v>0</v>
      </c>
      <c r="S32" s="671">
        <f t="shared" si="3"/>
        <v>0</v>
      </c>
      <c r="T32" s="671">
        <f t="shared" si="3"/>
        <v>0</v>
      </c>
      <c r="U32" s="671">
        <f t="shared" si="3"/>
        <v>0</v>
      </c>
      <c r="V32" s="671">
        <f t="shared" si="3"/>
        <v>0</v>
      </c>
      <c r="W32" s="671">
        <f t="shared" si="3"/>
        <v>0</v>
      </c>
      <c r="X32" s="671">
        <f t="shared" si="3"/>
        <v>0</v>
      </c>
      <c r="Y32" s="671">
        <f t="shared" si="3"/>
        <v>0</v>
      </c>
      <c r="Z32" s="671">
        <f t="shared" si="3"/>
        <v>0</v>
      </c>
      <c r="AA32" s="671">
        <f t="shared" si="3"/>
        <v>0</v>
      </c>
      <c r="AB32" s="671">
        <f t="shared" si="3"/>
        <v>0</v>
      </c>
      <c r="AC32" s="671">
        <f t="shared" si="3"/>
        <v>0</v>
      </c>
      <c r="AD32" s="671">
        <f t="shared" si="3"/>
        <v>0</v>
      </c>
      <c r="AE32" s="671">
        <f t="shared" si="3"/>
        <v>0</v>
      </c>
      <c r="AF32" s="671">
        <f t="shared" si="3"/>
        <v>0</v>
      </c>
      <c r="AG32" s="671">
        <f t="shared" si="3"/>
        <v>0</v>
      </c>
      <c r="AH32" s="671">
        <f t="shared" si="3"/>
        <v>0</v>
      </c>
      <c r="AI32" s="671">
        <f t="shared" si="3"/>
        <v>0</v>
      </c>
      <c r="AJ32" s="671">
        <f t="shared" si="3"/>
        <v>0</v>
      </c>
      <c r="AK32" s="671">
        <f t="shared" si="3"/>
        <v>0</v>
      </c>
      <c r="AL32" s="671">
        <f t="shared" si="3"/>
        <v>0</v>
      </c>
      <c r="AM32" s="671">
        <f t="shared" si="3"/>
        <v>0</v>
      </c>
      <c r="AN32" s="671">
        <f t="shared" si="3"/>
        <v>0</v>
      </c>
      <c r="AO32" s="671">
        <f t="shared" si="3"/>
        <v>0</v>
      </c>
      <c r="AP32" s="671">
        <f t="shared" si="3"/>
        <v>0</v>
      </c>
      <c r="AQ32" s="671">
        <f t="shared" si="3"/>
        <v>0</v>
      </c>
      <c r="AR32" s="671">
        <f t="shared" si="3"/>
        <v>0</v>
      </c>
      <c r="AS32" s="671">
        <f t="shared" si="3"/>
        <v>0</v>
      </c>
      <c r="AT32" s="673">
        <f t="shared" si="3"/>
        <v>0</v>
      </c>
    </row>
    <row r="33" spans="1:46" ht="19.149999999999999" customHeight="1" x14ac:dyDescent="0.25">
      <c r="A33" s="83"/>
      <c r="B33" s="662" t="s">
        <v>494</v>
      </c>
      <c r="C33" s="591"/>
      <c r="D33" s="591"/>
      <c r="E33" s="591"/>
      <c r="F33" s="591"/>
      <c r="G33" s="672">
        <f>'Plant OPEX'!$U$19*'Cash Flow Analysis'!G25</f>
        <v>0</v>
      </c>
      <c r="H33" s="671">
        <f>'Plant OPEX'!$U$19*'Cash Flow Analysis'!H25</f>
        <v>0</v>
      </c>
      <c r="I33" s="671">
        <f>'Plant OPEX'!$U$19*'Cash Flow Analysis'!I25</f>
        <v>0</v>
      </c>
      <c r="J33" s="671">
        <f>'Plant OPEX'!$U$19*'Cash Flow Analysis'!J25</f>
        <v>0</v>
      </c>
      <c r="K33" s="671">
        <f>'Plant OPEX'!$U$19*'Cash Flow Analysis'!K25</f>
        <v>0</v>
      </c>
      <c r="L33" s="671">
        <f>'Plant OPEX'!$U$19*'Cash Flow Analysis'!L25</f>
        <v>0</v>
      </c>
      <c r="M33" s="671">
        <f>'Plant OPEX'!$U$19*'Cash Flow Analysis'!M25</f>
        <v>0</v>
      </c>
      <c r="N33" s="671">
        <f>'Plant OPEX'!$U$19*'Cash Flow Analysis'!N25</f>
        <v>0</v>
      </c>
      <c r="O33" s="671">
        <f>'Plant OPEX'!$U$19*'Cash Flow Analysis'!O25</f>
        <v>0</v>
      </c>
      <c r="P33" s="671">
        <f>'Plant OPEX'!$U$19*'Cash Flow Analysis'!P25</f>
        <v>0</v>
      </c>
      <c r="Q33" s="671">
        <f>'Plant OPEX'!$U$19*'Cash Flow Analysis'!Q25</f>
        <v>0</v>
      </c>
      <c r="R33" s="671">
        <f>'Plant OPEX'!$U$19*'Cash Flow Analysis'!R25</f>
        <v>0</v>
      </c>
      <c r="S33" s="671">
        <f>'Plant OPEX'!$U$19*'Cash Flow Analysis'!S25</f>
        <v>0</v>
      </c>
      <c r="T33" s="671">
        <f>'Plant OPEX'!$U$19*'Cash Flow Analysis'!T25</f>
        <v>0</v>
      </c>
      <c r="U33" s="671">
        <f>'Plant OPEX'!$U$19*'Cash Flow Analysis'!U25</f>
        <v>0</v>
      </c>
      <c r="V33" s="671">
        <f>'Plant OPEX'!$U$19*'Cash Flow Analysis'!V25</f>
        <v>0</v>
      </c>
      <c r="W33" s="671">
        <f>'Plant OPEX'!$U$19*'Cash Flow Analysis'!W25</f>
        <v>0</v>
      </c>
      <c r="X33" s="671">
        <f>'Plant OPEX'!$U$19*'Cash Flow Analysis'!X25</f>
        <v>0</v>
      </c>
      <c r="Y33" s="671">
        <f>'Plant OPEX'!$U$19*'Cash Flow Analysis'!Y25</f>
        <v>0</v>
      </c>
      <c r="Z33" s="671">
        <f>'Plant OPEX'!$U$19*'Cash Flow Analysis'!Z25</f>
        <v>0</v>
      </c>
      <c r="AA33" s="671">
        <f>'Plant OPEX'!$U$19*'Cash Flow Analysis'!AA25</f>
        <v>0</v>
      </c>
      <c r="AB33" s="671">
        <f>'Plant OPEX'!$U$19*'Cash Flow Analysis'!AB25</f>
        <v>0</v>
      </c>
      <c r="AC33" s="671">
        <f>'Plant OPEX'!$U$19*'Cash Flow Analysis'!AC25</f>
        <v>0</v>
      </c>
      <c r="AD33" s="671">
        <f>'Plant OPEX'!$U$19*'Cash Flow Analysis'!AD25</f>
        <v>0</v>
      </c>
      <c r="AE33" s="671">
        <f>'Plant OPEX'!$U$19*'Cash Flow Analysis'!AE25</f>
        <v>0</v>
      </c>
      <c r="AF33" s="671">
        <f>'Plant OPEX'!$U$19*'Cash Flow Analysis'!AF25</f>
        <v>0</v>
      </c>
      <c r="AG33" s="671">
        <f>'Plant OPEX'!$U$19*'Cash Flow Analysis'!AG25</f>
        <v>0</v>
      </c>
      <c r="AH33" s="671">
        <f>'Plant OPEX'!$U$19*'Cash Flow Analysis'!AH25</f>
        <v>0</v>
      </c>
      <c r="AI33" s="671">
        <f>'Plant OPEX'!$U$19*'Cash Flow Analysis'!AI25</f>
        <v>0</v>
      </c>
      <c r="AJ33" s="671">
        <f>'Plant OPEX'!$U$19*'Cash Flow Analysis'!AJ25</f>
        <v>0</v>
      </c>
      <c r="AK33" s="671">
        <f>'Plant OPEX'!$U$19*'Cash Flow Analysis'!AK25</f>
        <v>0</v>
      </c>
      <c r="AL33" s="671">
        <f>'Plant OPEX'!$U$19*'Cash Flow Analysis'!AL25</f>
        <v>0</v>
      </c>
      <c r="AM33" s="671">
        <f>'Plant OPEX'!$U$19*'Cash Flow Analysis'!AM25</f>
        <v>0</v>
      </c>
      <c r="AN33" s="671">
        <f>'Plant OPEX'!$U$19*'Cash Flow Analysis'!AN25</f>
        <v>0</v>
      </c>
      <c r="AO33" s="671">
        <f>'Plant OPEX'!$U$19*'Cash Flow Analysis'!AO25</f>
        <v>0</v>
      </c>
      <c r="AP33" s="671">
        <f>'Plant OPEX'!$U$19*'Cash Flow Analysis'!AP25</f>
        <v>0</v>
      </c>
      <c r="AQ33" s="671">
        <f>'Plant OPEX'!$U$19*'Cash Flow Analysis'!AQ25</f>
        <v>0</v>
      </c>
      <c r="AR33" s="671">
        <f>'Plant OPEX'!$U$19*'Cash Flow Analysis'!AR25</f>
        <v>0</v>
      </c>
      <c r="AS33" s="671">
        <f>'Plant OPEX'!$U$19*'Cash Flow Analysis'!AS25</f>
        <v>0</v>
      </c>
      <c r="AT33" s="673">
        <f>'Plant OPEX'!$U$19*'Cash Flow Analysis'!AT25</f>
        <v>0</v>
      </c>
    </row>
    <row r="34" spans="1:46" ht="19.149999999999999" customHeight="1" x14ac:dyDescent="0.25">
      <c r="A34" s="83"/>
      <c r="B34" s="663" t="str">
        <f>+B11</f>
        <v>VOM</v>
      </c>
      <c r="C34" s="591"/>
      <c r="D34" s="591"/>
      <c r="E34" s="591"/>
      <c r="F34" s="591"/>
      <c r="G34" s="672">
        <f t="shared" ref="G34:AT34" si="4">+$D$11*G25</f>
        <v>0</v>
      </c>
      <c r="H34" s="671">
        <f t="shared" si="4"/>
        <v>0</v>
      </c>
      <c r="I34" s="671">
        <f t="shared" si="4"/>
        <v>0</v>
      </c>
      <c r="J34" s="671">
        <f t="shared" si="4"/>
        <v>0</v>
      </c>
      <c r="K34" s="671">
        <f t="shared" si="4"/>
        <v>0</v>
      </c>
      <c r="L34" s="671">
        <f t="shared" si="4"/>
        <v>0</v>
      </c>
      <c r="M34" s="671">
        <f t="shared" si="4"/>
        <v>0</v>
      </c>
      <c r="N34" s="671">
        <f t="shared" si="4"/>
        <v>0</v>
      </c>
      <c r="O34" s="671">
        <f t="shared" si="4"/>
        <v>0</v>
      </c>
      <c r="P34" s="671">
        <f t="shared" si="4"/>
        <v>0</v>
      </c>
      <c r="Q34" s="671">
        <f t="shared" si="4"/>
        <v>0</v>
      </c>
      <c r="R34" s="671">
        <f t="shared" si="4"/>
        <v>0</v>
      </c>
      <c r="S34" s="671">
        <f t="shared" si="4"/>
        <v>0</v>
      </c>
      <c r="T34" s="671">
        <f t="shared" si="4"/>
        <v>0</v>
      </c>
      <c r="U34" s="671">
        <f t="shared" si="4"/>
        <v>0</v>
      </c>
      <c r="V34" s="671">
        <f t="shared" si="4"/>
        <v>0</v>
      </c>
      <c r="W34" s="671">
        <f t="shared" si="4"/>
        <v>0</v>
      </c>
      <c r="X34" s="671">
        <f t="shared" si="4"/>
        <v>0</v>
      </c>
      <c r="Y34" s="671">
        <f t="shared" si="4"/>
        <v>0</v>
      </c>
      <c r="Z34" s="671">
        <f t="shared" si="4"/>
        <v>0</v>
      </c>
      <c r="AA34" s="671">
        <f t="shared" si="4"/>
        <v>0</v>
      </c>
      <c r="AB34" s="671">
        <f t="shared" si="4"/>
        <v>0</v>
      </c>
      <c r="AC34" s="671">
        <f t="shared" si="4"/>
        <v>0</v>
      </c>
      <c r="AD34" s="671">
        <f t="shared" si="4"/>
        <v>0</v>
      </c>
      <c r="AE34" s="671">
        <f t="shared" si="4"/>
        <v>0</v>
      </c>
      <c r="AF34" s="671">
        <f t="shared" si="4"/>
        <v>0</v>
      </c>
      <c r="AG34" s="671">
        <f t="shared" si="4"/>
        <v>0</v>
      </c>
      <c r="AH34" s="671">
        <f t="shared" si="4"/>
        <v>0</v>
      </c>
      <c r="AI34" s="671">
        <f t="shared" si="4"/>
        <v>0</v>
      </c>
      <c r="AJ34" s="671">
        <f t="shared" si="4"/>
        <v>0</v>
      </c>
      <c r="AK34" s="671">
        <f t="shared" si="4"/>
        <v>0</v>
      </c>
      <c r="AL34" s="671">
        <f t="shared" si="4"/>
        <v>0</v>
      </c>
      <c r="AM34" s="671">
        <f t="shared" si="4"/>
        <v>0</v>
      </c>
      <c r="AN34" s="671">
        <f t="shared" si="4"/>
        <v>0</v>
      </c>
      <c r="AO34" s="671">
        <f t="shared" si="4"/>
        <v>0</v>
      </c>
      <c r="AP34" s="671">
        <f t="shared" si="4"/>
        <v>0</v>
      </c>
      <c r="AQ34" s="671">
        <f t="shared" si="4"/>
        <v>0</v>
      </c>
      <c r="AR34" s="671">
        <f t="shared" si="4"/>
        <v>0</v>
      </c>
      <c r="AS34" s="671">
        <f t="shared" si="4"/>
        <v>0</v>
      </c>
      <c r="AT34" s="673">
        <f t="shared" si="4"/>
        <v>0</v>
      </c>
    </row>
    <row r="35" spans="1:46" ht="19.149999999999999" customHeight="1" x14ac:dyDescent="0.25">
      <c r="A35" s="83"/>
      <c r="B35" s="730" t="s">
        <v>441</v>
      </c>
      <c r="C35" s="597" t="e">
        <f t="shared" ref="C35:AT35" ca="1" si="5">C27-SUM(C29:C34)</f>
        <v>#VALUE!</v>
      </c>
      <c r="D35" s="597" t="e">
        <f t="shared" ca="1" si="5"/>
        <v>#VALUE!</v>
      </c>
      <c r="E35" s="597" t="e">
        <f t="shared" ca="1" si="5"/>
        <v>#VALUE!</v>
      </c>
      <c r="F35" s="597" t="e">
        <f t="shared" ca="1" si="5"/>
        <v>#VALUE!</v>
      </c>
      <c r="G35" s="733">
        <f>G27-SUM(G29:G34)</f>
        <v>0</v>
      </c>
      <c r="H35" s="734">
        <f t="shared" si="5"/>
        <v>0</v>
      </c>
      <c r="I35" s="734">
        <f t="shared" si="5"/>
        <v>0</v>
      </c>
      <c r="J35" s="734">
        <f t="shared" si="5"/>
        <v>0</v>
      </c>
      <c r="K35" s="734">
        <f t="shared" si="5"/>
        <v>0</v>
      </c>
      <c r="L35" s="734">
        <f t="shared" si="5"/>
        <v>0</v>
      </c>
      <c r="M35" s="734">
        <f t="shared" si="5"/>
        <v>0</v>
      </c>
      <c r="N35" s="734">
        <f t="shared" si="5"/>
        <v>0</v>
      </c>
      <c r="O35" s="734">
        <f t="shared" si="5"/>
        <v>0</v>
      </c>
      <c r="P35" s="734">
        <f t="shared" si="5"/>
        <v>0</v>
      </c>
      <c r="Q35" s="734">
        <f t="shared" si="5"/>
        <v>0</v>
      </c>
      <c r="R35" s="734">
        <f t="shared" si="5"/>
        <v>0</v>
      </c>
      <c r="S35" s="734">
        <f t="shared" si="5"/>
        <v>0</v>
      </c>
      <c r="T35" s="734">
        <f t="shared" si="5"/>
        <v>0</v>
      </c>
      <c r="U35" s="734">
        <f t="shared" si="5"/>
        <v>0</v>
      </c>
      <c r="V35" s="734">
        <f t="shared" si="5"/>
        <v>0</v>
      </c>
      <c r="W35" s="734">
        <f t="shared" si="5"/>
        <v>0</v>
      </c>
      <c r="X35" s="734">
        <f t="shared" si="5"/>
        <v>0</v>
      </c>
      <c r="Y35" s="734">
        <f t="shared" si="5"/>
        <v>0</v>
      </c>
      <c r="Z35" s="734">
        <f t="shared" si="5"/>
        <v>0</v>
      </c>
      <c r="AA35" s="734">
        <f t="shared" si="5"/>
        <v>0</v>
      </c>
      <c r="AB35" s="734">
        <f t="shared" si="5"/>
        <v>0</v>
      </c>
      <c r="AC35" s="734">
        <f t="shared" si="5"/>
        <v>0</v>
      </c>
      <c r="AD35" s="734">
        <f t="shared" si="5"/>
        <v>0</v>
      </c>
      <c r="AE35" s="734">
        <f t="shared" si="5"/>
        <v>0</v>
      </c>
      <c r="AF35" s="734">
        <f t="shared" si="5"/>
        <v>0</v>
      </c>
      <c r="AG35" s="734">
        <f t="shared" si="5"/>
        <v>0</v>
      </c>
      <c r="AH35" s="734">
        <f t="shared" si="5"/>
        <v>0</v>
      </c>
      <c r="AI35" s="734">
        <f t="shared" si="5"/>
        <v>0</v>
      </c>
      <c r="AJ35" s="734">
        <f t="shared" si="5"/>
        <v>0</v>
      </c>
      <c r="AK35" s="734">
        <f t="shared" si="5"/>
        <v>0</v>
      </c>
      <c r="AL35" s="734">
        <f t="shared" si="5"/>
        <v>0</v>
      </c>
      <c r="AM35" s="734">
        <f t="shared" si="5"/>
        <v>0</v>
      </c>
      <c r="AN35" s="734">
        <f t="shared" si="5"/>
        <v>0</v>
      </c>
      <c r="AO35" s="734">
        <f t="shared" si="5"/>
        <v>0</v>
      </c>
      <c r="AP35" s="734">
        <f t="shared" si="5"/>
        <v>0</v>
      </c>
      <c r="AQ35" s="734">
        <f t="shared" si="5"/>
        <v>0</v>
      </c>
      <c r="AR35" s="734">
        <f t="shared" si="5"/>
        <v>0</v>
      </c>
      <c r="AS35" s="734">
        <f t="shared" si="5"/>
        <v>0</v>
      </c>
      <c r="AT35" s="735">
        <f t="shared" si="5"/>
        <v>0</v>
      </c>
    </row>
    <row r="36" spans="1:46" ht="19.149999999999999" customHeight="1" x14ac:dyDescent="0.25">
      <c r="A36" s="83"/>
      <c r="B36" s="662" t="s">
        <v>445</v>
      </c>
      <c r="C36" s="671">
        <v>1</v>
      </c>
      <c r="D36" s="671">
        <f>C36/(1+$D$21)</f>
        <v>0.92592592592592582</v>
      </c>
      <c r="E36" s="671">
        <f>D36/(1+$D$21)</f>
        <v>0.8573388203017831</v>
      </c>
      <c r="F36" s="671">
        <f>E36/(1+$D$21)</f>
        <v>0.79383224102016947</v>
      </c>
      <c r="G36" s="672">
        <f>F36/(1+$D$21)</f>
        <v>0.73502985279645316</v>
      </c>
      <c r="H36" s="671">
        <f t="shared" ref="H36:AT36" si="6">IF(H24&lt;=$D$16,G36/(1+$D$21),0)</f>
        <v>0.68058319703375292</v>
      </c>
      <c r="I36" s="671">
        <f t="shared" si="6"/>
        <v>0.63016962688310452</v>
      </c>
      <c r="J36" s="671">
        <f t="shared" si="6"/>
        <v>0.58349039526213375</v>
      </c>
      <c r="K36" s="671">
        <f t="shared" si="6"/>
        <v>0.54026888450197563</v>
      </c>
      <c r="L36" s="671">
        <f t="shared" si="6"/>
        <v>0.50024896713145883</v>
      </c>
      <c r="M36" s="671">
        <f t="shared" si="6"/>
        <v>0.46319348808468408</v>
      </c>
      <c r="N36" s="671">
        <f t="shared" si="6"/>
        <v>0.4288828593376704</v>
      </c>
      <c r="O36" s="671">
        <f t="shared" si="6"/>
        <v>0.39711375864599108</v>
      </c>
      <c r="P36" s="671">
        <f t="shared" si="6"/>
        <v>0.36769792467221396</v>
      </c>
      <c r="Q36" s="671">
        <f t="shared" si="6"/>
        <v>0.34046104136316108</v>
      </c>
      <c r="R36" s="671">
        <f t="shared" si="6"/>
        <v>0.31524170496588988</v>
      </c>
      <c r="S36" s="671">
        <f t="shared" si="6"/>
        <v>0.29189046756100911</v>
      </c>
      <c r="T36" s="671">
        <f t="shared" si="6"/>
        <v>0.27026895144537877</v>
      </c>
      <c r="U36" s="671">
        <f t="shared" si="6"/>
        <v>0.25024902911609143</v>
      </c>
      <c r="V36" s="671">
        <f t="shared" si="6"/>
        <v>0.23171206399638095</v>
      </c>
      <c r="W36" s="671">
        <f t="shared" si="6"/>
        <v>0.21454820740405642</v>
      </c>
      <c r="X36" s="671">
        <f t="shared" si="6"/>
        <v>0.19865574759634852</v>
      </c>
      <c r="Y36" s="671">
        <f t="shared" si="6"/>
        <v>0.18394050703365603</v>
      </c>
      <c r="Z36" s="671">
        <f t="shared" si="6"/>
        <v>0.17031528429042223</v>
      </c>
      <c r="AA36" s="671">
        <f t="shared" si="6"/>
        <v>0.15769933730594649</v>
      </c>
      <c r="AB36" s="671">
        <f t="shared" si="6"/>
        <v>0.14601790491291342</v>
      </c>
      <c r="AC36" s="671">
        <f t="shared" si="6"/>
        <v>0.13520176380825316</v>
      </c>
      <c r="AD36" s="671">
        <f t="shared" si="6"/>
        <v>0.12518681834097514</v>
      </c>
      <c r="AE36" s="671">
        <f t="shared" si="6"/>
        <v>0.11591372068608809</v>
      </c>
      <c r="AF36" s="671">
        <f t="shared" si="6"/>
        <v>0</v>
      </c>
      <c r="AG36" s="671">
        <f t="shared" si="6"/>
        <v>0</v>
      </c>
      <c r="AH36" s="671">
        <f t="shared" si="6"/>
        <v>0</v>
      </c>
      <c r="AI36" s="671">
        <f t="shared" si="6"/>
        <v>0</v>
      </c>
      <c r="AJ36" s="671">
        <f t="shared" si="6"/>
        <v>0</v>
      </c>
      <c r="AK36" s="671">
        <f t="shared" si="6"/>
        <v>0</v>
      </c>
      <c r="AL36" s="671">
        <f t="shared" si="6"/>
        <v>0</v>
      </c>
      <c r="AM36" s="671">
        <f t="shared" si="6"/>
        <v>0</v>
      </c>
      <c r="AN36" s="671">
        <f t="shared" si="6"/>
        <v>0</v>
      </c>
      <c r="AO36" s="671">
        <f t="shared" si="6"/>
        <v>0</v>
      </c>
      <c r="AP36" s="671">
        <f t="shared" si="6"/>
        <v>0</v>
      </c>
      <c r="AQ36" s="671">
        <f t="shared" si="6"/>
        <v>0</v>
      </c>
      <c r="AR36" s="671">
        <f t="shared" si="6"/>
        <v>0</v>
      </c>
      <c r="AS36" s="671">
        <f t="shared" si="6"/>
        <v>0</v>
      </c>
      <c r="AT36" s="673">
        <f t="shared" si="6"/>
        <v>0</v>
      </c>
    </row>
    <row r="37" spans="1:46" ht="19.149999999999999" customHeight="1" x14ac:dyDescent="0.25">
      <c r="A37" s="83"/>
      <c r="B37" s="662" t="s">
        <v>446</v>
      </c>
      <c r="C37" s="591" t="e">
        <f ca="1">C35*C36</f>
        <v>#VALUE!</v>
      </c>
      <c r="D37" s="591" t="e">
        <f ca="1">D35*D36</f>
        <v>#VALUE!</v>
      </c>
      <c r="E37" s="591" t="e">
        <f ca="1">E35*E36</f>
        <v>#VALUE!</v>
      </c>
      <c r="F37" s="591" t="e">
        <f ca="1">F35*F36</f>
        <v>#VALUE!</v>
      </c>
      <c r="G37" s="590">
        <f t="shared" ref="G37:AT37" si="7">G35*G36</f>
        <v>0</v>
      </c>
      <c r="H37" s="591">
        <f t="shared" si="7"/>
        <v>0</v>
      </c>
      <c r="I37" s="591">
        <f t="shared" si="7"/>
        <v>0</v>
      </c>
      <c r="J37" s="591">
        <f t="shared" si="7"/>
        <v>0</v>
      </c>
      <c r="K37" s="591">
        <f t="shared" si="7"/>
        <v>0</v>
      </c>
      <c r="L37" s="591">
        <f t="shared" si="7"/>
        <v>0</v>
      </c>
      <c r="M37" s="591">
        <f t="shared" si="7"/>
        <v>0</v>
      </c>
      <c r="N37" s="591">
        <f t="shared" si="7"/>
        <v>0</v>
      </c>
      <c r="O37" s="591">
        <f t="shared" si="7"/>
        <v>0</v>
      </c>
      <c r="P37" s="591">
        <f t="shared" si="7"/>
        <v>0</v>
      </c>
      <c r="Q37" s="591">
        <f t="shared" si="7"/>
        <v>0</v>
      </c>
      <c r="R37" s="591">
        <f t="shared" si="7"/>
        <v>0</v>
      </c>
      <c r="S37" s="591">
        <f t="shared" si="7"/>
        <v>0</v>
      </c>
      <c r="T37" s="591">
        <f t="shared" si="7"/>
        <v>0</v>
      </c>
      <c r="U37" s="591">
        <f t="shared" si="7"/>
        <v>0</v>
      </c>
      <c r="V37" s="591">
        <f t="shared" si="7"/>
        <v>0</v>
      </c>
      <c r="W37" s="591">
        <f t="shared" si="7"/>
        <v>0</v>
      </c>
      <c r="X37" s="591">
        <f t="shared" si="7"/>
        <v>0</v>
      </c>
      <c r="Y37" s="591">
        <f t="shared" si="7"/>
        <v>0</v>
      </c>
      <c r="Z37" s="591">
        <f t="shared" si="7"/>
        <v>0</v>
      </c>
      <c r="AA37" s="591">
        <f t="shared" si="7"/>
        <v>0</v>
      </c>
      <c r="AB37" s="591">
        <f t="shared" si="7"/>
        <v>0</v>
      </c>
      <c r="AC37" s="591">
        <f t="shared" si="7"/>
        <v>0</v>
      </c>
      <c r="AD37" s="591">
        <f t="shared" si="7"/>
        <v>0</v>
      </c>
      <c r="AE37" s="591">
        <f t="shared" si="7"/>
        <v>0</v>
      </c>
      <c r="AF37" s="591">
        <f t="shared" si="7"/>
        <v>0</v>
      </c>
      <c r="AG37" s="591">
        <f t="shared" si="7"/>
        <v>0</v>
      </c>
      <c r="AH37" s="591">
        <f t="shared" si="7"/>
        <v>0</v>
      </c>
      <c r="AI37" s="591">
        <f t="shared" si="7"/>
        <v>0</v>
      </c>
      <c r="AJ37" s="591">
        <f t="shared" si="7"/>
        <v>0</v>
      </c>
      <c r="AK37" s="591">
        <f t="shared" si="7"/>
        <v>0</v>
      </c>
      <c r="AL37" s="591">
        <f t="shared" si="7"/>
        <v>0</v>
      </c>
      <c r="AM37" s="591">
        <f t="shared" si="7"/>
        <v>0</v>
      </c>
      <c r="AN37" s="591">
        <f t="shared" si="7"/>
        <v>0</v>
      </c>
      <c r="AO37" s="591">
        <f t="shared" si="7"/>
        <v>0</v>
      </c>
      <c r="AP37" s="591">
        <f t="shared" si="7"/>
        <v>0</v>
      </c>
      <c r="AQ37" s="591">
        <f t="shared" si="7"/>
        <v>0</v>
      </c>
      <c r="AR37" s="591">
        <f t="shared" si="7"/>
        <v>0</v>
      </c>
      <c r="AS37" s="591">
        <f t="shared" si="7"/>
        <v>0</v>
      </c>
      <c r="AT37" s="592">
        <f t="shared" si="7"/>
        <v>0</v>
      </c>
    </row>
    <row r="38" spans="1:46" ht="19.149999999999999" customHeight="1" x14ac:dyDescent="0.25">
      <c r="A38" s="83"/>
      <c r="B38" s="662" t="s">
        <v>447</v>
      </c>
      <c r="C38" s="591" t="e">
        <f ca="1">+C37</f>
        <v>#VALUE!</v>
      </c>
      <c r="D38" s="591" t="e">
        <f ca="1">D35+C38</f>
        <v>#VALUE!</v>
      </c>
      <c r="E38" s="591" t="e">
        <f ca="1">E35+D38</f>
        <v>#VALUE!</v>
      </c>
      <c r="F38" s="591" t="e">
        <f ca="1">F35+E38</f>
        <v>#VALUE!</v>
      </c>
      <c r="G38" s="672" t="e">
        <f ca="1">G35+F38</f>
        <v>#VALUE!</v>
      </c>
      <c r="H38" s="591" t="e">
        <f t="shared" ref="H38:AT38" ca="1" si="8">IF(H24&lt;=$D$16,H35+G38,0)</f>
        <v>#VALUE!</v>
      </c>
      <c r="I38" s="591" t="e">
        <f t="shared" ca="1" si="8"/>
        <v>#VALUE!</v>
      </c>
      <c r="J38" s="591" t="e">
        <f t="shared" ca="1" si="8"/>
        <v>#VALUE!</v>
      </c>
      <c r="K38" s="591" t="e">
        <f t="shared" ca="1" si="8"/>
        <v>#VALUE!</v>
      </c>
      <c r="L38" s="591" t="e">
        <f t="shared" ca="1" si="8"/>
        <v>#VALUE!</v>
      </c>
      <c r="M38" s="591" t="e">
        <f t="shared" ca="1" si="8"/>
        <v>#VALUE!</v>
      </c>
      <c r="N38" s="591" t="e">
        <f t="shared" ca="1" si="8"/>
        <v>#VALUE!</v>
      </c>
      <c r="O38" s="591" t="e">
        <f t="shared" ca="1" si="8"/>
        <v>#VALUE!</v>
      </c>
      <c r="P38" s="591" t="e">
        <f t="shared" ca="1" si="8"/>
        <v>#VALUE!</v>
      </c>
      <c r="Q38" s="591" t="e">
        <f t="shared" ca="1" si="8"/>
        <v>#VALUE!</v>
      </c>
      <c r="R38" s="591" t="e">
        <f t="shared" ca="1" si="8"/>
        <v>#VALUE!</v>
      </c>
      <c r="S38" s="591" t="e">
        <f t="shared" ca="1" si="8"/>
        <v>#VALUE!</v>
      </c>
      <c r="T38" s="591" t="e">
        <f t="shared" ca="1" si="8"/>
        <v>#VALUE!</v>
      </c>
      <c r="U38" s="591" t="e">
        <f t="shared" ca="1" si="8"/>
        <v>#VALUE!</v>
      </c>
      <c r="V38" s="591" t="e">
        <f t="shared" ca="1" si="8"/>
        <v>#VALUE!</v>
      </c>
      <c r="W38" s="591" t="e">
        <f t="shared" ca="1" si="8"/>
        <v>#VALUE!</v>
      </c>
      <c r="X38" s="591" t="e">
        <f t="shared" ca="1" si="8"/>
        <v>#VALUE!</v>
      </c>
      <c r="Y38" s="591" t="e">
        <f t="shared" ca="1" si="8"/>
        <v>#VALUE!</v>
      </c>
      <c r="Z38" s="591" t="e">
        <f t="shared" ca="1" si="8"/>
        <v>#VALUE!</v>
      </c>
      <c r="AA38" s="591" t="e">
        <f t="shared" ca="1" si="8"/>
        <v>#VALUE!</v>
      </c>
      <c r="AB38" s="591" t="e">
        <f t="shared" ca="1" si="8"/>
        <v>#VALUE!</v>
      </c>
      <c r="AC38" s="591" t="e">
        <f t="shared" ca="1" si="8"/>
        <v>#VALUE!</v>
      </c>
      <c r="AD38" s="591" t="e">
        <f t="shared" ca="1" si="8"/>
        <v>#VALUE!</v>
      </c>
      <c r="AE38" s="591" t="e">
        <f t="shared" ca="1" si="8"/>
        <v>#VALUE!</v>
      </c>
      <c r="AF38" s="591">
        <f t="shared" si="8"/>
        <v>0</v>
      </c>
      <c r="AG38" s="591">
        <f t="shared" si="8"/>
        <v>0</v>
      </c>
      <c r="AH38" s="591">
        <f t="shared" si="8"/>
        <v>0</v>
      </c>
      <c r="AI38" s="591">
        <f t="shared" si="8"/>
        <v>0</v>
      </c>
      <c r="AJ38" s="591">
        <f t="shared" si="8"/>
        <v>0</v>
      </c>
      <c r="AK38" s="591">
        <f t="shared" si="8"/>
        <v>0</v>
      </c>
      <c r="AL38" s="591">
        <f t="shared" si="8"/>
        <v>0</v>
      </c>
      <c r="AM38" s="591">
        <f t="shared" si="8"/>
        <v>0</v>
      </c>
      <c r="AN38" s="591">
        <f t="shared" si="8"/>
        <v>0</v>
      </c>
      <c r="AO38" s="591">
        <f t="shared" si="8"/>
        <v>0</v>
      </c>
      <c r="AP38" s="591">
        <f t="shared" si="8"/>
        <v>0</v>
      </c>
      <c r="AQ38" s="591">
        <f t="shared" si="8"/>
        <v>0</v>
      </c>
      <c r="AR38" s="591">
        <f t="shared" si="8"/>
        <v>0</v>
      </c>
      <c r="AS38" s="591">
        <f t="shared" si="8"/>
        <v>0</v>
      </c>
      <c r="AT38" s="592">
        <f t="shared" si="8"/>
        <v>0</v>
      </c>
    </row>
    <row r="39" spans="1:46" ht="19.149999999999999" customHeight="1" x14ac:dyDescent="0.25">
      <c r="A39" s="83"/>
      <c r="B39" s="664" t="s">
        <v>448</v>
      </c>
      <c r="C39" s="597" t="e">
        <f ca="1">+C38</f>
        <v>#VALUE!</v>
      </c>
      <c r="D39" s="597" t="e">
        <f ca="1">D37+C39</f>
        <v>#VALUE!</v>
      </c>
      <c r="E39" s="597" t="e">
        <f ca="1">E37+D39</f>
        <v>#VALUE!</v>
      </c>
      <c r="F39" s="597" t="e">
        <f ca="1">F37+E39</f>
        <v>#VALUE!</v>
      </c>
      <c r="G39" s="596" t="e">
        <f ca="1">G37+F39</f>
        <v>#VALUE!</v>
      </c>
      <c r="H39" s="597" t="e">
        <f t="shared" ref="H39:AT39" ca="1" si="9">IF(H24&lt;=$D$16,H37+G39,0)</f>
        <v>#VALUE!</v>
      </c>
      <c r="I39" s="597" t="e">
        <f t="shared" ca="1" si="9"/>
        <v>#VALUE!</v>
      </c>
      <c r="J39" s="597" t="e">
        <f t="shared" ca="1" si="9"/>
        <v>#VALUE!</v>
      </c>
      <c r="K39" s="597" t="e">
        <f t="shared" ca="1" si="9"/>
        <v>#VALUE!</v>
      </c>
      <c r="L39" s="597" t="e">
        <f t="shared" ca="1" si="9"/>
        <v>#VALUE!</v>
      </c>
      <c r="M39" s="597" t="e">
        <f t="shared" ca="1" si="9"/>
        <v>#VALUE!</v>
      </c>
      <c r="N39" s="597" t="e">
        <f t="shared" ca="1" si="9"/>
        <v>#VALUE!</v>
      </c>
      <c r="O39" s="597" t="e">
        <f t="shared" ca="1" si="9"/>
        <v>#VALUE!</v>
      </c>
      <c r="P39" s="597" t="e">
        <f t="shared" ca="1" si="9"/>
        <v>#VALUE!</v>
      </c>
      <c r="Q39" s="597" t="e">
        <f t="shared" ca="1" si="9"/>
        <v>#VALUE!</v>
      </c>
      <c r="R39" s="597" t="e">
        <f t="shared" ca="1" si="9"/>
        <v>#VALUE!</v>
      </c>
      <c r="S39" s="597" t="e">
        <f t="shared" ca="1" si="9"/>
        <v>#VALUE!</v>
      </c>
      <c r="T39" s="597" t="e">
        <f t="shared" ca="1" si="9"/>
        <v>#VALUE!</v>
      </c>
      <c r="U39" s="597" t="e">
        <f t="shared" ca="1" si="9"/>
        <v>#VALUE!</v>
      </c>
      <c r="V39" s="597" t="e">
        <f t="shared" ca="1" si="9"/>
        <v>#VALUE!</v>
      </c>
      <c r="W39" s="597" t="e">
        <f t="shared" ca="1" si="9"/>
        <v>#VALUE!</v>
      </c>
      <c r="X39" s="597" t="e">
        <f t="shared" ca="1" si="9"/>
        <v>#VALUE!</v>
      </c>
      <c r="Y39" s="597" t="e">
        <f t="shared" ca="1" si="9"/>
        <v>#VALUE!</v>
      </c>
      <c r="Z39" s="597" t="e">
        <f t="shared" ca="1" si="9"/>
        <v>#VALUE!</v>
      </c>
      <c r="AA39" s="597" t="e">
        <f t="shared" ca="1" si="9"/>
        <v>#VALUE!</v>
      </c>
      <c r="AB39" s="597" t="e">
        <f t="shared" ca="1" si="9"/>
        <v>#VALUE!</v>
      </c>
      <c r="AC39" s="597" t="e">
        <f t="shared" ca="1" si="9"/>
        <v>#VALUE!</v>
      </c>
      <c r="AD39" s="597" t="e">
        <f t="shared" ca="1" si="9"/>
        <v>#VALUE!</v>
      </c>
      <c r="AE39" s="597" t="e">
        <f t="shared" ca="1" si="9"/>
        <v>#VALUE!</v>
      </c>
      <c r="AF39" s="597">
        <f t="shared" si="9"/>
        <v>0</v>
      </c>
      <c r="AG39" s="597">
        <f t="shared" si="9"/>
        <v>0</v>
      </c>
      <c r="AH39" s="597">
        <f t="shared" si="9"/>
        <v>0</v>
      </c>
      <c r="AI39" s="597">
        <f t="shared" si="9"/>
        <v>0</v>
      </c>
      <c r="AJ39" s="597">
        <f t="shared" si="9"/>
        <v>0</v>
      </c>
      <c r="AK39" s="597">
        <f t="shared" si="9"/>
        <v>0</v>
      </c>
      <c r="AL39" s="597">
        <f t="shared" si="9"/>
        <v>0</v>
      </c>
      <c r="AM39" s="597">
        <f t="shared" si="9"/>
        <v>0</v>
      </c>
      <c r="AN39" s="597">
        <f t="shared" si="9"/>
        <v>0</v>
      </c>
      <c r="AO39" s="597">
        <f t="shared" si="9"/>
        <v>0</v>
      </c>
      <c r="AP39" s="597">
        <f t="shared" si="9"/>
        <v>0</v>
      </c>
      <c r="AQ39" s="597">
        <f t="shared" si="9"/>
        <v>0</v>
      </c>
      <c r="AR39" s="597">
        <f t="shared" si="9"/>
        <v>0</v>
      </c>
      <c r="AS39" s="597">
        <f t="shared" si="9"/>
        <v>0</v>
      </c>
      <c r="AT39" s="598">
        <f t="shared" si="9"/>
        <v>0</v>
      </c>
    </row>
    <row r="40" spans="1:46" x14ac:dyDescent="0.25">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9" t="s">
        <v>652</v>
      </c>
      <c r="C2" s="209"/>
      <c r="D2" s="209"/>
      <c r="E2" s="209"/>
      <c r="F2" s="209"/>
      <c r="G2" s="209"/>
      <c r="H2" s="209"/>
      <c r="I2" s="209"/>
      <c r="J2" s="209"/>
      <c r="K2" s="209"/>
      <c r="L2" s="211"/>
      <c r="M2" s="211"/>
      <c r="O2" s="947" t="s">
        <v>500</v>
      </c>
      <c r="P2" s="948"/>
      <c r="Q2" s="948"/>
      <c r="R2" s="949"/>
      <c r="T2" s="947" t="s">
        <v>267</v>
      </c>
      <c r="U2" s="949"/>
    </row>
    <row r="3" spans="2:37" ht="19.899999999999999" customHeight="1" x14ac:dyDescent="0.25">
      <c r="B3" s="950" t="s">
        <v>706</v>
      </c>
      <c r="C3" s="950"/>
      <c r="D3" s="950"/>
      <c r="E3" s="951"/>
      <c r="F3" s="951"/>
      <c r="G3" s="951"/>
      <c r="H3" s="951"/>
      <c r="I3" s="951"/>
      <c r="J3" s="951"/>
      <c r="K3" s="209"/>
      <c r="L3" s="952" t="s">
        <v>657</v>
      </c>
      <c r="M3" s="953"/>
      <c r="N3" s="209"/>
      <c r="O3" s="476"/>
      <c r="P3" s="382"/>
      <c r="Q3" s="216" t="s">
        <v>470</v>
      </c>
      <c r="R3" s="217" t="s">
        <v>504</v>
      </c>
      <c r="T3" s="85"/>
      <c r="U3" s="398" t="s">
        <v>262</v>
      </c>
    </row>
    <row r="4" spans="2:37" ht="19.899999999999999" customHeight="1" x14ac:dyDescent="0.25">
      <c r="B4" s="428" t="s">
        <v>496</v>
      </c>
      <c r="C4" s="576" t="s">
        <v>705</v>
      </c>
      <c r="D4" s="645"/>
      <c r="E4" s="469"/>
      <c r="F4" s="432"/>
      <c r="G4" s="432"/>
      <c r="H4" s="432"/>
      <c r="I4" s="432"/>
      <c r="J4" s="433"/>
      <c r="K4" s="416"/>
      <c r="L4" s="430" t="s">
        <v>578</v>
      </c>
      <c r="M4" s="429"/>
      <c r="N4" s="416"/>
      <c r="O4" s="440"/>
      <c r="P4" s="394"/>
      <c r="Q4" s="190" t="s">
        <v>471</v>
      </c>
      <c r="R4" s="383" t="s">
        <v>505</v>
      </c>
      <c r="T4" s="210"/>
      <c r="U4" s="398" t="s">
        <v>263</v>
      </c>
    </row>
    <row r="5" spans="2:37" ht="19.899999999999999" customHeight="1" x14ac:dyDescent="0.25">
      <c r="B5" s="888"/>
      <c r="C5" s="567" t="s">
        <v>360</v>
      </c>
      <c r="D5" s="645"/>
      <c r="E5" s="470"/>
      <c r="F5" s="421"/>
      <c r="G5" s="421"/>
      <c r="H5" s="421"/>
      <c r="I5" s="421"/>
      <c r="J5" s="434"/>
      <c r="K5" s="416"/>
      <c r="L5" s="431" t="s">
        <v>579</v>
      </c>
      <c r="M5" s="429"/>
      <c r="N5" s="416"/>
      <c r="O5" s="440"/>
      <c r="P5" s="394"/>
      <c r="Q5" s="216" t="s">
        <v>465</v>
      </c>
      <c r="R5" s="217" t="s">
        <v>503</v>
      </c>
      <c r="T5" s="95"/>
      <c r="U5" s="478" t="s">
        <v>264</v>
      </c>
    </row>
    <row r="6" spans="2:37" ht="19.899999999999999" customHeight="1" x14ac:dyDescent="0.25">
      <c r="B6" s="954"/>
      <c r="C6" s="576" t="s">
        <v>589</v>
      </c>
      <c r="D6" s="645"/>
      <c r="E6" s="470"/>
      <c r="F6" s="421"/>
      <c r="G6" s="421"/>
      <c r="H6" s="421"/>
      <c r="I6" s="421"/>
      <c r="J6" s="434"/>
      <c r="K6" s="416"/>
      <c r="L6" s="416"/>
      <c r="M6" s="416"/>
      <c r="N6" s="416"/>
      <c r="O6" s="440"/>
      <c r="P6" s="394"/>
      <c r="Q6" s="216" t="s">
        <v>466</v>
      </c>
      <c r="R6" s="217" t="s">
        <v>501</v>
      </c>
      <c r="T6" s="110"/>
      <c r="U6" s="488" t="s">
        <v>268</v>
      </c>
    </row>
    <row r="7" spans="2:37" ht="19.899999999999999" customHeight="1" x14ac:dyDescent="0.25">
      <c r="B7" s="889"/>
      <c r="C7" s="644" t="s">
        <v>312</v>
      </c>
      <c r="D7" s="645"/>
      <c r="E7" s="471"/>
      <c r="F7" s="435"/>
      <c r="G7" s="435"/>
      <c r="H7" s="435"/>
      <c r="I7" s="435"/>
      <c r="J7" s="436"/>
      <c r="K7" s="416"/>
      <c r="L7" s="416"/>
      <c r="M7" s="416"/>
      <c r="N7" s="416"/>
      <c r="O7" s="477"/>
      <c r="P7" s="478"/>
      <c r="Q7" s="216" t="s">
        <v>467</v>
      </c>
      <c r="R7" s="217" t="s">
        <v>502</v>
      </c>
    </row>
    <row r="8" spans="2:37" ht="19.899999999999999" customHeight="1" x14ac:dyDescent="0.25">
      <c r="B8" s="473">
        <v>1</v>
      </c>
      <c r="Q8" s="181"/>
      <c r="R8" s="181"/>
      <c r="S8" s="418"/>
      <c r="T8" s="417"/>
      <c r="AI8" s="92"/>
      <c r="AJ8" s="92"/>
      <c r="AK8" s="92"/>
    </row>
    <row r="9" spans="2:37" ht="19.899999999999999" customHeight="1" x14ac:dyDescent="0.25">
      <c r="B9" s="190" t="s">
        <v>656</v>
      </c>
      <c r="C9" s="947"/>
      <c r="D9" s="948"/>
      <c r="E9" s="948"/>
      <c r="F9" s="948"/>
      <c r="G9" s="948"/>
      <c r="H9" s="948"/>
      <c r="I9" s="948"/>
      <c r="J9" s="948"/>
      <c r="K9" s="948"/>
      <c r="L9" s="948"/>
      <c r="M9" s="948"/>
      <c r="N9" s="948"/>
      <c r="O9" s="948"/>
      <c r="P9" s="948"/>
      <c r="Q9" s="948"/>
      <c r="R9" s="948"/>
      <c r="S9" s="948"/>
      <c r="T9" s="948"/>
      <c r="U9" s="949"/>
    </row>
    <row r="10" spans="2:37" ht="19.899999999999999" customHeight="1" x14ac:dyDescent="0.25">
      <c r="B10" s="850" t="s">
        <v>701</v>
      </c>
      <c r="C10" s="851"/>
      <c r="D10" s="851"/>
      <c r="E10" s="851"/>
      <c r="F10" s="851"/>
      <c r="G10" s="851"/>
      <c r="H10" s="851"/>
      <c r="I10" s="852"/>
      <c r="J10" s="850" t="s">
        <v>702</v>
      </c>
      <c r="K10" s="851"/>
      <c r="L10" s="851"/>
      <c r="M10" s="851"/>
      <c r="N10" s="851"/>
      <c r="O10" s="851"/>
      <c r="P10" s="851"/>
      <c r="Q10" s="851"/>
      <c r="R10" s="852"/>
      <c r="S10" s="850" t="s">
        <v>647</v>
      </c>
      <c r="T10" s="851"/>
      <c r="U10" s="852"/>
    </row>
    <row r="11" spans="2:37" ht="19.899999999999999" customHeight="1" x14ac:dyDescent="0.25">
      <c r="B11" s="576" t="s">
        <v>356</v>
      </c>
      <c r="C11" s="550" t="s">
        <v>649</v>
      </c>
      <c r="D11" s="576" t="s">
        <v>498</v>
      </c>
      <c r="E11" s="585" t="s">
        <v>464</v>
      </c>
      <c r="F11" s="585" t="s">
        <v>315</v>
      </c>
      <c r="G11" s="585" t="s">
        <v>509</v>
      </c>
      <c r="H11" s="576" t="s">
        <v>506</v>
      </c>
      <c r="I11" s="565" t="s">
        <v>235</v>
      </c>
      <c r="J11" s="564" t="s">
        <v>466</v>
      </c>
      <c r="K11" s="564" t="s">
        <v>467</v>
      </c>
      <c r="L11" s="574" t="s">
        <v>586</v>
      </c>
      <c r="M11" s="575" t="s">
        <v>469</v>
      </c>
      <c r="N11" s="570" t="s">
        <v>468</v>
      </c>
      <c r="O11" s="690" t="s">
        <v>653</v>
      </c>
      <c r="P11" s="690" t="s">
        <v>654</v>
      </c>
      <c r="Q11" s="575" t="s">
        <v>465</v>
      </c>
      <c r="R11" s="571" t="s">
        <v>642</v>
      </c>
      <c r="S11" s="690" t="s">
        <v>650</v>
      </c>
      <c r="T11" s="576" t="s">
        <v>360</v>
      </c>
      <c r="U11" s="636" t="s">
        <v>580</v>
      </c>
    </row>
    <row r="12" spans="2:37" ht="19.899999999999999" customHeight="1" x14ac:dyDescent="0.25">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99999999999999" customHeight="1" x14ac:dyDescent="0.25">
      <c r="B13" s="440"/>
      <c r="C13" s="484"/>
      <c r="D13" s="484"/>
      <c r="E13" s="484"/>
      <c r="F13" s="484"/>
      <c r="G13" s="484"/>
      <c r="H13" s="484"/>
      <c r="I13" s="484"/>
      <c r="J13" s="440"/>
      <c r="K13" s="484"/>
      <c r="L13" s="484"/>
      <c r="M13" s="395"/>
      <c r="N13" s="395"/>
      <c r="O13" s="484"/>
      <c r="P13" s="484"/>
      <c r="Q13" s="484"/>
      <c r="R13" s="197" t="str" cm="1">
        <f t="array" aca="1" ref="R13" ca="1">+IF(N13&gt;0,N13*INDIRECT(ADDRESS(MATCH(F13,'Cost Conversion'!$B$3:$B$48,0)+2,4,1,1,"Cost conversion"))*INDIRECT(ADDRESS(MATCH(G13,'Cost Conversion'!$F$3:$F$22,0)+2,8,1,1,"Cost conversion"))/IF(E13="$",'Cost Conversion'!$L$2,1),"")</f>
        <v/>
      </c>
      <c r="S13" s="440"/>
      <c r="T13" s="92"/>
      <c r="U13" s="84"/>
    </row>
    <row r="14" spans="2:37" ht="19.899999999999999" customHeight="1" x14ac:dyDescent="0.25">
      <c r="B14" s="440"/>
      <c r="C14" s="484"/>
      <c r="D14" s="484"/>
      <c r="E14" s="484"/>
      <c r="F14" s="484"/>
      <c r="G14" s="484"/>
      <c r="H14" s="484"/>
      <c r="I14" s="484"/>
      <c r="J14" s="440"/>
      <c r="K14" s="484"/>
      <c r="L14" s="484"/>
      <c r="M14" s="395"/>
      <c r="N14" s="395"/>
      <c r="O14" s="395"/>
      <c r="P14" s="395"/>
      <c r="Q14" s="484"/>
      <c r="R14" s="197" t="str" cm="1">
        <f t="array" aca="1" ref="R14" ca="1">+IF(N14&gt;0,N14*INDIRECT(ADDRESS(MATCH(F14,'Cost Conversion'!$B$3:$B$48,0)+2,4,1,1,"Cost conversion"))*INDIRECT(ADDRESS(MATCH(G14,'Cost Conversion'!$F$3:$F$22,0)+2,8,1,1,"Cost conversion"))/IF(E14="$",'Cost Conversion'!$L$2,1),"")</f>
        <v/>
      </c>
      <c r="S14" s="440"/>
      <c r="T14" s="92"/>
      <c r="U14" s="84"/>
    </row>
    <row r="15" spans="2:37" ht="19.899999999999999" customHeight="1" x14ac:dyDescent="0.25">
      <c r="B15" s="440"/>
      <c r="C15" s="484"/>
      <c r="D15" s="484"/>
      <c r="E15" s="484"/>
      <c r="F15" s="484"/>
      <c r="G15" s="484"/>
      <c r="H15" s="484"/>
      <c r="I15" s="419"/>
      <c r="J15" s="440"/>
      <c r="K15" s="484"/>
      <c r="L15" s="484"/>
      <c r="M15" s="395"/>
      <c r="N15" s="484"/>
      <c r="O15" s="484"/>
      <c r="P15" s="484"/>
      <c r="Q15" s="484"/>
      <c r="R15" s="197" t="str" cm="1">
        <f t="array" aca="1" ref="R15" ca="1">+IF(N15&gt;0,N15*INDIRECT(ADDRESS(MATCH(F15,'Cost Conversion'!$B$3:$B$48,0)+2,4,1,1,"Cost conversion"))*INDIRECT(ADDRESS(MATCH(G15,'Cost Conversion'!$F$3:$F$22,0)+2,8,1,1,"Cost conversion"))/IF(E15="$",'Cost Conversion'!$L$2,1),"")</f>
        <v/>
      </c>
      <c r="S15" s="440"/>
      <c r="T15" s="92"/>
      <c r="U15" s="84"/>
    </row>
    <row r="16" spans="2:37" ht="19.899999999999999" customHeight="1" x14ac:dyDescent="0.25">
      <c r="B16" s="440"/>
      <c r="C16" s="484"/>
      <c r="D16" s="484"/>
      <c r="E16" s="484"/>
      <c r="F16" s="484"/>
      <c r="G16" s="484"/>
      <c r="H16" s="484"/>
      <c r="I16" s="484"/>
      <c r="J16" s="440"/>
      <c r="K16" s="484"/>
      <c r="L16" s="484"/>
      <c r="M16" s="484"/>
      <c r="N16" s="484"/>
      <c r="O16" s="484"/>
      <c r="P16" s="484"/>
      <c r="Q16" s="484"/>
      <c r="R16" s="197" t="str" cm="1">
        <f t="array" aca="1" ref="R16" ca="1">+IF(N16&gt;0,N16*INDIRECT(ADDRESS(MATCH(F16,'Cost Conversion'!$B$3:$B$48,0)+2,4,1,1,"Cost conversion"))*INDIRECT(ADDRESS(MATCH(G16,'Cost Conversion'!$F$3:$F$22,0)+2,8,1,1,"Cost conversion"))/IF(E16="$",'Cost Conversion'!$L$2,1),"")</f>
        <v/>
      </c>
      <c r="S16" s="440"/>
      <c r="T16" s="92"/>
      <c r="U16" s="84"/>
    </row>
    <row r="17" spans="2:21" ht="19.899999999999999" customHeight="1" x14ac:dyDescent="0.25">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99999999999999" customHeight="1" x14ac:dyDescent="0.25">
      <c r="B18" s="476"/>
      <c r="C18" s="381"/>
      <c r="D18" s="381"/>
      <c r="E18" s="381"/>
      <c r="F18" s="381"/>
      <c r="G18" s="381"/>
      <c r="H18" s="381"/>
      <c r="I18" s="381"/>
      <c r="J18" s="381"/>
      <c r="K18" s="381"/>
      <c r="L18" s="381"/>
      <c r="M18" s="381"/>
      <c r="N18" s="381"/>
      <c r="O18" s="381"/>
      <c r="P18" s="381"/>
      <c r="Q18" s="381"/>
      <c r="R18" s="381"/>
      <c r="S18" s="381"/>
      <c r="T18" s="333"/>
      <c r="U18" s="125"/>
    </row>
    <row r="19" spans="2:21" ht="19.899999999999999" customHeight="1" x14ac:dyDescent="0.25">
      <c r="B19" s="440"/>
      <c r="C19" s="484"/>
      <c r="D19" s="484"/>
      <c r="E19" s="484"/>
      <c r="F19" s="484"/>
      <c r="G19" s="484"/>
      <c r="H19" s="484"/>
      <c r="I19" s="484"/>
      <c r="J19" s="484"/>
      <c r="K19" s="484"/>
      <c r="L19" s="484"/>
      <c r="M19" s="484"/>
      <c r="N19" s="484"/>
      <c r="O19" s="484"/>
      <c r="P19" s="484"/>
      <c r="Q19" s="484"/>
      <c r="R19" s="484"/>
      <c r="S19" s="484"/>
      <c r="T19" s="92"/>
      <c r="U19" s="84"/>
    </row>
    <row r="20" spans="2:21" ht="19.899999999999999" customHeight="1" x14ac:dyDescent="0.25">
      <c r="B20" s="440"/>
      <c r="C20" s="484"/>
      <c r="D20" s="484"/>
      <c r="E20" s="484"/>
      <c r="F20" s="484"/>
      <c r="G20" s="484"/>
      <c r="H20" s="484"/>
      <c r="I20" s="484"/>
      <c r="J20" s="484"/>
      <c r="K20" s="484"/>
      <c r="L20" s="484"/>
      <c r="M20" s="484"/>
      <c r="N20" s="484"/>
      <c r="O20" s="484"/>
      <c r="P20" s="484"/>
      <c r="Q20" s="484"/>
      <c r="R20" s="484"/>
      <c r="S20" s="484"/>
      <c r="T20" s="92"/>
      <c r="U20" s="84"/>
    </row>
    <row r="21" spans="2:21" ht="19.899999999999999" customHeight="1" x14ac:dyDescent="0.25">
      <c r="B21" s="440"/>
      <c r="C21" s="484"/>
      <c r="D21" s="484"/>
      <c r="E21" s="484"/>
      <c r="F21" s="484"/>
      <c r="G21" s="484"/>
      <c r="H21" s="484"/>
      <c r="I21" s="484"/>
      <c r="J21" s="910" t="str">
        <f>TEXT(C9,0)</f>
        <v>0</v>
      </c>
      <c r="K21" s="911"/>
      <c r="L21" s="911"/>
      <c r="M21" s="911"/>
      <c r="N21" s="911"/>
      <c r="O21" s="911"/>
      <c r="P21" s="911"/>
      <c r="Q21" s="911"/>
      <c r="R21" s="911"/>
      <c r="S21" s="911"/>
      <c r="T21" s="912"/>
      <c r="U21" s="84"/>
    </row>
    <row r="22" spans="2:21" ht="19.899999999999999" customHeight="1" x14ac:dyDescent="0.25">
      <c r="B22" s="440"/>
      <c r="C22" s="484"/>
      <c r="D22" s="484"/>
      <c r="E22" s="484"/>
      <c r="F22" s="484"/>
      <c r="G22" s="484"/>
      <c r="H22" s="484"/>
      <c r="I22" s="484"/>
      <c r="J22" s="422" t="s">
        <v>651</v>
      </c>
      <c r="K22" s="423">
        <v>1</v>
      </c>
      <c r="L22" s="423">
        <v>2</v>
      </c>
      <c r="M22" s="423">
        <v>3</v>
      </c>
      <c r="N22" s="423">
        <v>4</v>
      </c>
      <c r="O22" s="423">
        <v>5</v>
      </c>
      <c r="P22" s="423">
        <v>6</v>
      </c>
      <c r="Q22" s="423">
        <v>7</v>
      </c>
      <c r="R22" s="423">
        <v>8</v>
      </c>
      <c r="S22" s="423">
        <v>9</v>
      </c>
      <c r="T22" s="424">
        <v>10</v>
      </c>
      <c r="U22" s="84"/>
    </row>
    <row r="23" spans="2:21" ht="19.899999999999999" customHeight="1" x14ac:dyDescent="0.25">
      <c r="B23" s="440"/>
      <c r="C23" s="484"/>
      <c r="D23" s="484"/>
      <c r="E23" s="484"/>
      <c r="F23" s="484"/>
      <c r="G23" s="484"/>
      <c r="H23" s="484"/>
      <c r="I23" s="484"/>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99999999999999" customHeight="1" x14ac:dyDescent="0.25">
      <c r="B24" s="440"/>
      <c r="C24" s="484"/>
      <c r="D24" s="484"/>
      <c r="E24" s="484"/>
      <c r="F24" s="484"/>
      <c r="G24" s="484"/>
      <c r="H24" s="484"/>
      <c r="I24" s="484"/>
      <c r="J24" s="258" t="str">
        <f>+TEXT(B12,0)&amp;" - Scaling"</f>
        <v>0 - Scaling</v>
      </c>
      <c r="K24" s="503" t="e">
        <f ca="1">+(Q12/L12)^J12*R12*((K23/Q12)/(M12/L12))^K12</f>
        <v>#DIV/0!</v>
      </c>
      <c r="L24" s="504" t="e">
        <f ca="1">+(Q12/L12)^J12*R12*((L23/Q12)/(M12/L12))^K12</f>
        <v>#DIV/0!</v>
      </c>
      <c r="M24" s="504" t="e">
        <f ca="1">+(Q12/L12)^J12*R12*((M23/Q12)/(M12/L12))^K12</f>
        <v>#DIV/0!</v>
      </c>
      <c r="N24" s="504" t="e">
        <f ca="1">+(Q12/L12)^J12*R12*((N23/Q12)/(M12/L12))^K12</f>
        <v>#DIV/0!</v>
      </c>
      <c r="O24" s="504" t="e">
        <f ca="1">+(Q12/L12)^J12*R12*((O23/Q12)/(M12/L12))^K12</f>
        <v>#DIV/0!</v>
      </c>
      <c r="P24" s="504" t="e">
        <f ca="1">+(Q12/L12)^J12*R12*((P23/Q12)/(M12/L12))^K12</f>
        <v>#DIV/0!</v>
      </c>
      <c r="Q24" s="504" t="e">
        <f ca="1">+(Q12/L12)^J12*R12*((Q23/Q12)/(M12/L12))^K12</f>
        <v>#DIV/0!</v>
      </c>
      <c r="R24" s="504" t="e">
        <f ca="1">+(Q12/L12)^J12*R12*((R23/Q12)/(M12/L12))^K12</f>
        <v>#DIV/0!</v>
      </c>
      <c r="S24" s="504" t="e">
        <f ca="1">+(Q12/L12)^J12*R12*((S23/Q12)/(M12/L12))^K12</f>
        <v>#DIV/0!</v>
      </c>
      <c r="T24" s="505" t="e">
        <f ca="1">+(Q12/L12)^J12*R12*((T23/Q12)/(M12/L12))^K12</f>
        <v>#DIV/0!</v>
      </c>
      <c r="U24" s="84"/>
    </row>
    <row r="25" spans="2:21" ht="19.899999999999999" customHeight="1" x14ac:dyDescent="0.25">
      <c r="B25" s="440"/>
      <c r="C25" s="484"/>
      <c r="D25" s="484"/>
      <c r="E25" s="484"/>
      <c r="F25" s="484"/>
      <c r="G25" s="484"/>
      <c r="H25" s="484"/>
      <c r="I25" s="484"/>
      <c r="J25" s="258" t="str">
        <f>+TEXT(B13,0)&amp;" - Scaling"</f>
        <v>0 - Scaling</v>
      </c>
      <c r="K25" s="506"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7" t="e">
        <f ca="1">+(Q13/L13)^J13*R13*((T23/Q13)/(M13/L13))^K13</f>
        <v>#DIV/0!</v>
      </c>
      <c r="U25" s="84"/>
    </row>
    <row r="26" spans="2:21" ht="19.899999999999999" customHeight="1" x14ac:dyDescent="0.25">
      <c r="B26" s="440"/>
      <c r="C26" s="484"/>
      <c r="D26" s="484"/>
      <c r="E26" s="484"/>
      <c r="F26" s="484"/>
      <c r="G26" s="484"/>
      <c r="H26" s="484"/>
      <c r="I26" s="484"/>
      <c r="J26" s="258" t="str">
        <f>+TEXT(B14,0)&amp;" - Scaling"</f>
        <v>0 - Scaling</v>
      </c>
      <c r="K26" s="506"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7" t="e">
        <f ca="1">+(Q14/L14)^J14*R14*((T23/Q14)/(M14/L14))^K14</f>
        <v>#DIV/0!</v>
      </c>
      <c r="U26" s="84"/>
    </row>
    <row r="27" spans="2:21" ht="19.899999999999999" customHeight="1" x14ac:dyDescent="0.25">
      <c r="B27" s="440"/>
      <c r="C27" s="484"/>
      <c r="D27" s="484"/>
      <c r="E27" s="484"/>
      <c r="F27" s="484"/>
      <c r="G27" s="484"/>
      <c r="H27" s="484"/>
      <c r="I27" s="484"/>
      <c r="J27" s="258" t="str">
        <f>+TEXT(B15,0)&amp;" - Scaling"</f>
        <v>0 - Scaling</v>
      </c>
      <c r="K27" s="506"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7" t="e">
        <f ca="1">+(Q15/L15)^J15*R15*((T23/Q15)/(M15/L15))^K15</f>
        <v>#DIV/0!</v>
      </c>
      <c r="U27" s="84"/>
    </row>
    <row r="28" spans="2:21" ht="19.899999999999999" customHeight="1" x14ac:dyDescent="0.25">
      <c r="B28" s="440"/>
      <c r="C28" s="484"/>
      <c r="D28" s="484"/>
      <c r="E28" s="484"/>
      <c r="F28" s="484"/>
      <c r="G28" s="484"/>
      <c r="H28" s="484"/>
      <c r="I28" s="484"/>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7" t="e">
        <f ca="1">+(Q16/L16)^J16*R16*((T23/Q16)/(M16/L16))^K16</f>
        <v>#DIV/0!</v>
      </c>
      <c r="U28" s="84"/>
    </row>
    <row r="29" spans="2:21" ht="19.899999999999999" customHeight="1" x14ac:dyDescent="0.25">
      <c r="B29" s="440"/>
      <c r="C29" s="484"/>
      <c r="D29" s="484"/>
      <c r="E29" s="484"/>
      <c r="F29" s="484"/>
      <c r="G29" s="484"/>
      <c r="H29" s="484"/>
      <c r="I29" s="484"/>
      <c r="J29" s="258" t="str">
        <f t="shared" si="0"/>
        <v>0 - Scaling</v>
      </c>
      <c r="K29" s="508" t="e">
        <f ca="1">+(Q17/L17)^J17*R17*((K23/Q17)/(M17/L17))^K17</f>
        <v>#DIV/0!</v>
      </c>
      <c r="L29" s="509" t="e">
        <f ca="1">+(Q17/L17)^J17*R17*((L23/Q17)/(M17/L17))^K17</f>
        <v>#DIV/0!</v>
      </c>
      <c r="M29" s="509" t="e">
        <f ca="1">+(Q17/L17)^J17*R17*((M23/Q17)/(M17/L17))^K17</f>
        <v>#DIV/0!</v>
      </c>
      <c r="N29" s="509" t="e">
        <f ca="1">+(Q17/L17)^J17*R17*((N23/Q17)/(M17/L17))^K17</f>
        <v>#DIV/0!</v>
      </c>
      <c r="O29" s="509" t="e">
        <f ca="1">+(Q17/L17)^J17*R17*((O23/Q17)/(M17/L17))^K17</f>
        <v>#DIV/0!</v>
      </c>
      <c r="P29" s="509" t="e" cm="1">
        <f t="array" aca="1" ref="P29" ca="1">+(Q17/L17)^J17*R17*((P23/Q17)/(M17/P26L17))^K17</f>
        <v>#DIV/0!</v>
      </c>
      <c r="Q29" s="509" t="e">
        <f ca="1">+(Q17/L17)^J17*R17*((Q23/Q17)/(M17/L17))^K17</f>
        <v>#DIV/0!</v>
      </c>
      <c r="R29" s="509" t="e">
        <f ca="1">+(Q17/L17)^J17*R17*((R23/Q17)/(M17/L17))^K17</f>
        <v>#DIV/0!</v>
      </c>
      <c r="S29" s="509" t="e">
        <f ca="1">+(Q17/L17)^J17*R17*((S23/Q17)/(M17/L17))^K17</f>
        <v>#DIV/0!</v>
      </c>
      <c r="T29" s="510" t="e">
        <f ca="1">+(Q17/L17)^J17*R17*((T23/Q17)/(M17/L17))^K17</f>
        <v>#DIV/0!</v>
      </c>
      <c r="U29" s="84"/>
    </row>
    <row r="30" spans="2:21" ht="19.899999999999999" customHeight="1" x14ac:dyDescent="0.25">
      <c r="B30" s="440"/>
      <c r="C30" s="484"/>
      <c r="D30" s="484"/>
      <c r="E30" s="484"/>
      <c r="F30" s="484"/>
      <c r="G30" s="484"/>
      <c r="H30" s="484"/>
      <c r="I30" s="484"/>
      <c r="J30" s="383" t="s">
        <v>576</v>
      </c>
      <c r="K30" s="383" t="s">
        <v>655</v>
      </c>
      <c r="L30" s="257"/>
      <c r="M30" s="257"/>
      <c r="N30" s="257"/>
      <c r="O30" s="257"/>
      <c r="P30" s="257"/>
      <c r="Q30" s="257"/>
      <c r="R30" s="257"/>
      <c r="S30" s="257"/>
      <c r="T30" s="511"/>
      <c r="U30" s="84"/>
    </row>
    <row r="31" spans="2:21" ht="19.899999999999999" customHeight="1" x14ac:dyDescent="0.25">
      <c r="B31" s="440"/>
      <c r="C31" s="484"/>
      <c r="D31" s="484"/>
      <c r="E31" s="484"/>
      <c r="F31" s="484"/>
      <c r="G31" s="484"/>
      <c r="H31" s="484"/>
      <c r="I31" s="484"/>
      <c r="J31" s="512">
        <f>+B12</f>
        <v>0</v>
      </c>
      <c r="K31" s="513" t="e">
        <f ca="1">+R12/(M12/Q12)</f>
        <v>#VALUE!</v>
      </c>
      <c r="L31" s="257"/>
      <c r="M31" s="257"/>
      <c r="N31" s="257"/>
      <c r="O31" s="257"/>
      <c r="P31" s="257"/>
      <c r="Q31" s="257"/>
      <c r="R31" s="257"/>
      <c r="S31" s="257"/>
      <c r="T31" s="511"/>
      <c r="U31" s="84"/>
    </row>
    <row r="32" spans="2:21" ht="19.899999999999999" customHeight="1" x14ac:dyDescent="0.25">
      <c r="B32" s="440"/>
      <c r="C32" s="484"/>
      <c r="D32" s="484"/>
      <c r="E32" s="484"/>
      <c r="F32" s="484"/>
      <c r="G32" s="484"/>
      <c r="H32" s="484"/>
      <c r="I32" s="484"/>
      <c r="J32" s="258">
        <f>+B13</f>
        <v>0</v>
      </c>
      <c r="K32" s="514" t="e">
        <f ca="1">+R13/(M13/Q13)</f>
        <v>#VALUE!</v>
      </c>
      <c r="L32" s="257"/>
      <c r="M32" s="257"/>
      <c r="N32" s="257"/>
      <c r="O32" s="257"/>
      <c r="P32" s="257"/>
      <c r="Q32" s="257"/>
      <c r="R32" s="257"/>
      <c r="S32" s="257"/>
      <c r="T32" s="511"/>
      <c r="U32" s="84"/>
    </row>
    <row r="33" spans="2:21" ht="19.899999999999999" customHeight="1" x14ac:dyDescent="0.25">
      <c r="B33" s="91"/>
      <c r="C33" s="92"/>
      <c r="D33" s="92"/>
      <c r="E33" s="92"/>
      <c r="F33" s="484"/>
      <c r="G33" s="484"/>
      <c r="H33" s="92"/>
      <c r="I33" s="92"/>
      <c r="J33" s="258">
        <f>+B14</f>
        <v>0</v>
      </c>
      <c r="K33" s="514" t="e">
        <f ca="1">+R14/(M14/Q14)</f>
        <v>#VALUE!</v>
      </c>
      <c r="L33" s="511"/>
      <c r="M33" s="511"/>
      <c r="N33" s="511"/>
      <c r="O33" s="511"/>
      <c r="P33" s="511"/>
      <c r="Q33" s="511"/>
      <c r="R33" s="511"/>
      <c r="S33" s="511"/>
      <c r="T33" s="511"/>
      <c r="U33" s="84"/>
    </row>
    <row r="34" spans="2:21" ht="19.899999999999999" customHeight="1" x14ac:dyDescent="0.25">
      <c r="B34" s="91"/>
      <c r="C34" s="92"/>
      <c r="D34" s="92"/>
      <c r="E34" s="92"/>
      <c r="F34" s="484"/>
      <c r="G34" s="484"/>
      <c r="H34" s="92"/>
      <c r="I34" s="92"/>
      <c r="J34" s="289">
        <f>+B15</f>
        <v>0</v>
      </c>
      <c r="K34" s="515" t="e">
        <f ca="1">+R15/(M15/Q15)</f>
        <v>#VALUE!</v>
      </c>
      <c r="L34" s="511"/>
      <c r="M34" s="511"/>
      <c r="N34" s="511"/>
      <c r="O34" s="511"/>
      <c r="P34" s="511"/>
      <c r="Q34" s="511"/>
      <c r="R34" s="511"/>
      <c r="S34" s="511"/>
      <c r="T34" s="511"/>
      <c r="U34" s="84"/>
    </row>
    <row r="35" spans="2:21" ht="19.899999999999999" customHeight="1" x14ac:dyDescent="0.25">
      <c r="B35" s="91"/>
      <c r="C35" s="92"/>
      <c r="D35" s="92"/>
      <c r="E35" s="92"/>
      <c r="F35" s="484"/>
      <c r="G35" s="484"/>
      <c r="H35" s="92"/>
      <c r="I35" s="92"/>
      <c r="J35" s="257"/>
      <c r="K35" s="511"/>
      <c r="L35" s="511"/>
      <c r="M35" s="511"/>
      <c r="N35" s="511"/>
      <c r="O35" s="511"/>
      <c r="P35" s="511"/>
      <c r="Q35" s="511"/>
      <c r="R35" s="511"/>
      <c r="S35" s="511"/>
      <c r="T35" s="511"/>
      <c r="U35" s="84"/>
    </row>
    <row r="36" spans="2:21" ht="19.899999999999999" customHeight="1" x14ac:dyDescent="0.25">
      <c r="B36" s="91"/>
      <c r="C36" s="92"/>
      <c r="D36" s="92"/>
      <c r="E36" s="92"/>
      <c r="F36" s="484"/>
      <c r="G36" s="484"/>
      <c r="H36" s="92"/>
      <c r="I36" s="92"/>
      <c r="J36" s="511"/>
      <c r="K36" s="511"/>
      <c r="L36" s="511"/>
      <c r="M36" s="511"/>
      <c r="N36" s="511"/>
      <c r="O36" s="511"/>
      <c r="P36" s="511"/>
      <c r="Q36" s="511"/>
      <c r="R36" s="511"/>
      <c r="S36" s="511"/>
      <c r="T36" s="511"/>
      <c r="U36" s="84"/>
    </row>
    <row r="37" spans="2:21" ht="19.899999999999999" customHeight="1" x14ac:dyDescent="0.25">
      <c r="B37" s="91"/>
      <c r="C37" s="92"/>
      <c r="D37" s="92"/>
      <c r="E37" s="92"/>
      <c r="F37" s="484"/>
      <c r="G37" s="484"/>
      <c r="H37" s="92"/>
      <c r="I37" s="92"/>
      <c r="J37" s="511"/>
      <c r="K37" s="511"/>
      <c r="L37" s="511"/>
      <c r="M37" s="511"/>
      <c r="N37" s="511"/>
      <c r="O37" s="511"/>
      <c r="P37" s="511"/>
      <c r="Q37" s="511"/>
      <c r="R37" s="511"/>
      <c r="S37" s="511"/>
      <c r="T37" s="511"/>
      <c r="U37" s="84"/>
    </row>
    <row r="38" spans="2:21" ht="19.899999999999999" customHeight="1" x14ac:dyDescent="0.25">
      <c r="B38" s="91"/>
      <c r="C38" s="92"/>
      <c r="D38" s="92"/>
      <c r="E38" s="92"/>
      <c r="F38" s="484"/>
      <c r="G38" s="484"/>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84"/>
      <c r="G39" s="484"/>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84"/>
      <c r="G40" s="484"/>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84"/>
      <c r="G41" s="484"/>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84"/>
      <c r="G42" s="484"/>
      <c r="H42" s="92"/>
      <c r="I42" s="92"/>
      <c r="J42" s="92"/>
      <c r="K42" s="92"/>
      <c r="L42" s="92"/>
      <c r="M42" s="92"/>
      <c r="N42" s="92"/>
      <c r="O42" s="92"/>
      <c r="P42" s="92"/>
      <c r="Q42" s="92"/>
      <c r="R42" s="92"/>
      <c r="S42" s="92"/>
      <c r="T42" s="92"/>
      <c r="U42" s="84"/>
    </row>
    <row r="43" spans="2:21" ht="19.899999999999999" customHeight="1" x14ac:dyDescent="0.25">
      <c r="B43" s="399"/>
      <c r="C43" s="400"/>
      <c r="D43" s="400"/>
      <c r="E43" s="400"/>
      <c r="F43" s="393"/>
      <c r="G43" s="393"/>
      <c r="H43" s="400"/>
      <c r="I43" s="400"/>
      <c r="J43" s="400"/>
      <c r="K43" s="400"/>
      <c r="L43" s="400"/>
      <c r="M43" s="400"/>
      <c r="N43" s="400"/>
      <c r="O43" s="400"/>
      <c r="P43" s="400"/>
      <c r="Q43" s="400"/>
      <c r="R43" s="400"/>
      <c r="S43" s="400"/>
      <c r="T43" s="400"/>
      <c r="U43" s="402"/>
    </row>
    <row r="44" spans="2:21" x14ac:dyDescent="0.25">
      <c r="B44" s="196">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U58" sqref="U58"/>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75" x14ac:dyDescent="0.25">
      <c r="A3" s="83"/>
      <c r="B3" s="104"/>
      <c r="C3" s="850" t="s">
        <v>270</v>
      </c>
      <c r="D3" s="851"/>
      <c r="E3" s="851"/>
      <c r="F3" s="851"/>
      <c r="G3" s="851"/>
      <c r="H3" s="950" t="s">
        <v>229</v>
      </c>
      <c r="I3" s="950"/>
      <c r="J3" s="105"/>
      <c r="K3" s="850" t="s">
        <v>268</v>
      </c>
      <c r="L3" s="851"/>
      <c r="M3" s="851"/>
      <c r="N3" s="851"/>
      <c r="O3" s="851"/>
      <c r="P3" s="851"/>
      <c r="Q3" s="851"/>
      <c r="R3" s="851"/>
      <c r="S3" s="852"/>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681</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970"/>
      <c r="L4" s="970"/>
      <c r="M4" s="970"/>
      <c r="N4" s="970"/>
      <c r="O4" s="970"/>
      <c r="P4" s="970"/>
      <c r="Q4" s="970"/>
      <c r="R4" s="970"/>
      <c r="S4" s="970"/>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971" t="s">
        <v>715</v>
      </c>
      <c r="E5" s="972"/>
      <c r="F5" s="105"/>
      <c r="G5" s="105"/>
      <c r="H5" s="971" t="s">
        <v>267</v>
      </c>
      <c r="I5" s="972"/>
      <c r="J5" s="105"/>
      <c r="K5" s="973" t="s">
        <v>738</v>
      </c>
      <c r="L5" s="974"/>
      <c r="M5" s="974"/>
      <c r="N5" s="974"/>
      <c r="O5" s="974"/>
      <c r="P5" s="974"/>
      <c r="Q5" s="974"/>
      <c r="R5" s="974"/>
      <c r="S5" s="975"/>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888" t="s">
        <v>496</v>
      </c>
      <c r="D6" s="697" t="s">
        <v>737</v>
      </c>
      <c r="E6" s="714" t="s">
        <v>714</v>
      </c>
      <c r="F6" s="105"/>
      <c r="G6" s="105"/>
      <c r="H6" s="85"/>
      <c r="I6" s="114" t="s">
        <v>262</v>
      </c>
      <c r="J6" s="105"/>
      <c r="K6" s="976"/>
      <c r="L6" s="977"/>
      <c r="M6" s="977"/>
      <c r="N6" s="977"/>
      <c r="O6" s="977"/>
      <c r="P6" s="977"/>
      <c r="Q6" s="977"/>
      <c r="R6" s="977"/>
      <c r="S6" s="978"/>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889"/>
      <c r="D7" s="91"/>
      <c r="E7" s="711"/>
      <c r="F7" s="105"/>
      <c r="G7" s="105"/>
      <c r="H7" s="96"/>
      <c r="I7" s="114" t="s">
        <v>263</v>
      </c>
      <c r="J7" s="105"/>
      <c r="K7" s="976"/>
      <c r="L7" s="977"/>
      <c r="M7" s="977"/>
      <c r="N7" s="977"/>
      <c r="O7" s="977"/>
      <c r="P7" s="977"/>
      <c r="Q7" s="977"/>
      <c r="R7" s="977"/>
      <c r="S7" s="978"/>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826"/>
      <c r="D8" s="710"/>
      <c r="E8" s="711"/>
      <c r="F8" s="105"/>
      <c r="G8" s="105"/>
      <c r="H8" s="95"/>
      <c r="I8" s="115" t="s">
        <v>264</v>
      </c>
      <c r="J8" s="105"/>
      <c r="K8" s="976"/>
      <c r="L8" s="977"/>
      <c r="M8" s="977"/>
      <c r="N8" s="977"/>
      <c r="O8" s="977"/>
      <c r="P8" s="977"/>
      <c r="Q8" s="977"/>
      <c r="R8" s="977"/>
      <c r="S8" s="978"/>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55" t="s">
        <v>680</v>
      </c>
      <c r="CI8" s="956"/>
      <c r="CJ8" s="956"/>
      <c r="CK8" s="956"/>
      <c r="CL8" s="956"/>
      <c r="CM8" s="957"/>
      <c r="CN8" s="83"/>
      <c r="CO8" s="83"/>
    </row>
    <row r="9" spans="1:93" ht="15.75" x14ac:dyDescent="0.25">
      <c r="A9" s="83"/>
      <c r="B9" s="104"/>
      <c r="C9" s="827"/>
      <c r="D9" s="712"/>
      <c r="E9" s="713"/>
      <c r="F9" s="105"/>
      <c r="G9" s="105"/>
      <c r="H9" s="110"/>
      <c r="I9" s="111" t="s">
        <v>268</v>
      </c>
      <c r="J9" s="105"/>
      <c r="K9" s="979"/>
      <c r="L9" s="980"/>
      <c r="M9" s="980"/>
      <c r="N9" s="980"/>
      <c r="O9" s="980"/>
      <c r="P9" s="980"/>
      <c r="Q9" s="980"/>
      <c r="R9" s="980"/>
      <c r="S9" s="981"/>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58"/>
      <c r="CI9" s="959"/>
      <c r="CJ9" s="959"/>
      <c r="CK9" s="959"/>
      <c r="CL9" s="959"/>
      <c r="CM9" s="960"/>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850" t="s">
        <v>511</v>
      </c>
      <c r="E11" s="851"/>
      <c r="F11" s="851"/>
      <c r="G11" s="851"/>
      <c r="H11" s="851"/>
      <c r="I11" s="851"/>
      <c r="J11" s="851"/>
      <c r="K11" s="851"/>
      <c r="L11" s="852"/>
      <c r="M11" s="850" t="s">
        <v>512</v>
      </c>
      <c r="N11" s="851"/>
      <c r="O11" s="851"/>
      <c r="P11" s="851"/>
      <c r="Q11" s="852"/>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25">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25">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25">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25">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25">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25">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25">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25">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25">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25">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25">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8"/>
      <c r="D39" s="270" t="s">
        <v>522</v>
      </c>
      <c r="E39" s="270" t="s">
        <v>521</v>
      </c>
      <c r="F39" s="297">
        <v>1</v>
      </c>
      <c r="G39" s="696" t="s">
        <v>354</v>
      </c>
      <c r="H39" s="297" t="s">
        <v>351</v>
      </c>
      <c r="I39" s="696"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25">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25">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25">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25">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25">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25">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25">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25">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25">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25">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25">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25">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25">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25">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25">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25">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25">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25">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25">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25">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25">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25">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25">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25">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25">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25">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25">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25">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25">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25">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25">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25">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25">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25">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25">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25">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25">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25">
      <c r="A107" s="83"/>
      <c r="B107" s="104"/>
      <c r="C107" s="305"/>
      <c r="D107" s="270" t="s">
        <v>536</v>
      </c>
      <c r="E107" s="270" t="s">
        <v>681</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5" customHeight="1" x14ac:dyDescent="0.25">
      <c r="A108" s="83"/>
      <c r="B108" s="104"/>
      <c r="C108" s="961"/>
      <c r="D108" s="962"/>
      <c r="E108" s="962"/>
      <c r="F108" s="962"/>
      <c r="G108" s="962"/>
      <c r="H108" s="962"/>
      <c r="I108" s="962"/>
      <c r="J108" s="962"/>
      <c r="K108" s="962"/>
      <c r="L108" s="962"/>
      <c r="M108" s="962"/>
      <c r="N108" s="962"/>
      <c r="O108" s="962"/>
      <c r="P108" s="962"/>
      <c r="Q108" s="962"/>
      <c r="R108" s="963"/>
      <c r="S108" s="967"/>
      <c r="T108" s="106"/>
      <c r="U108" s="105"/>
      <c r="V108" s="105"/>
      <c r="W108" s="83"/>
      <c r="X108" s="1"/>
      <c r="CI108" s="83"/>
      <c r="CJ108" s="83"/>
      <c r="CK108" s="83"/>
      <c r="CL108" s="83"/>
      <c r="CM108" s="83"/>
      <c r="CN108" s="83"/>
      <c r="CO108" s="83"/>
    </row>
    <row r="109" spans="1:93" ht="14.45" customHeight="1" x14ac:dyDescent="0.25">
      <c r="A109" s="83"/>
      <c r="B109" s="104"/>
      <c r="C109" s="964"/>
      <c r="D109" s="965"/>
      <c r="E109" s="965"/>
      <c r="F109" s="965"/>
      <c r="G109" s="965"/>
      <c r="H109" s="965"/>
      <c r="I109" s="965"/>
      <c r="J109" s="965"/>
      <c r="K109" s="965"/>
      <c r="L109" s="965"/>
      <c r="M109" s="965"/>
      <c r="N109" s="965"/>
      <c r="O109" s="965"/>
      <c r="P109" s="965"/>
      <c r="Q109" s="965"/>
      <c r="R109" s="966"/>
      <c r="S109" s="968"/>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969"/>
      <c r="C112" s="969"/>
      <c r="D112" s="969"/>
      <c r="E112" s="969"/>
      <c r="F112" s="969"/>
      <c r="G112" s="969"/>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850" t="s">
        <v>358</v>
      </c>
      <c r="C2" s="851"/>
      <c r="D2" s="851"/>
      <c r="E2" s="852"/>
      <c r="F2" s="92"/>
      <c r="G2" s="92"/>
      <c r="H2" s="92"/>
      <c r="I2" s="92"/>
      <c r="J2" s="92"/>
      <c r="K2" s="92"/>
      <c r="L2" s="92"/>
    </row>
    <row r="3" spans="2:12" ht="27" customHeight="1" x14ac:dyDescent="0.25">
      <c r="B3" s="576" t="s">
        <v>707</v>
      </c>
      <c r="C3" s="693" t="s">
        <v>360</v>
      </c>
      <c r="D3" s="694" t="s">
        <v>580</v>
      </c>
      <c r="E3" s="695" t="s">
        <v>708</v>
      </c>
      <c r="F3" s="92"/>
      <c r="G3" s="92"/>
      <c r="H3" s="92"/>
      <c r="I3" s="92"/>
      <c r="J3" s="92"/>
      <c r="K3" s="92"/>
      <c r="L3" s="92"/>
    </row>
    <row r="4" spans="2:12" ht="27" customHeight="1" x14ac:dyDescent="0.25">
      <c r="B4" s="691"/>
      <c r="C4" s="691"/>
      <c r="D4" s="691"/>
      <c r="E4" s="689"/>
      <c r="G4" s="127"/>
      <c r="H4" s="127"/>
      <c r="I4" s="127"/>
      <c r="J4" s="127"/>
      <c r="K4" s="127"/>
      <c r="L4" s="92"/>
    </row>
    <row r="5" spans="2:12" ht="27" customHeight="1" x14ac:dyDescent="0.25">
      <c r="B5" s="691"/>
      <c r="C5" s="691"/>
      <c r="D5" s="691"/>
      <c r="E5" s="689"/>
      <c r="G5" s="126"/>
      <c r="H5" s="126"/>
      <c r="I5" s="126"/>
      <c r="J5" s="126"/>
      <c r="K5" s="126"/>
      <c r="L5" s="92"/>
    </row>
    <row r="6" spans="2:12" ht="27" customHeight="1" x14ac:dyDescent="0.25">
      <c r="B6" s="691"/>
      <c r="C6" s="691"/>
      <c r="D6" s="691"/>
      <c r="E6" s="689"/>
      <c r="G6" s="126"/>
      <c r="H6" s="126"/>
      <c r="I6" s="126"/>
      <c r="J6" s="126"/>
      <c r="K6" s="126"/>
      <c r="L6" s="92"/>
    </row>
    <row r="7" spans="2:12" ht="27" customHeight="1" x14ac:dyDescent="0.25">
      <c r="B7" s="691"/>
      <c r="C7" s="691"/>
      <c r="D7" s="691"/>
      <c r="E7" s="689"/>
      <c r="G7" s="126"/>
      <c r="H7" s="126"/>
      <c r="I7" s="126"/>
      <c r="J7" s="126"/>
      <c r="K7" s="126"/>
      <c r="L7" s="92"/>
    </row>
    <row r="8" spans="2:12" ht="27" customHeight="1" x14ac:dyDescent="0.25">
      <c r="B8" s="691"/>
      <c r="C8" s="691"/>
      <c r="D8" s="691"/>
      <c r="E8" s="689"/>
      <c r="G8" s="126"/>
      <c r="H8" s="126"/>
      <c r="I8" s="126"/>
      <c r="J8" s="126"/>
      <c r="K8" s="126"/>
      <c r="L8" s="92"/>
    </row>
    <row r="9" spans="2:12" ht="27" customHeight="1" x14ac:dyDescent="0.25">
      <c r="B9" s="691"/>
      <c r="C9" s="691"/>
      <c r="D9" s="691"/>
      <c r="E9" s="689"/>
      <c r="G9" s="126"/>
      <c r="H9" s="126"/>
      <c r="I9" s="126"/>
      <c r="J9" s="126"/>
      <c r="K9" s="126"/>
      <c r="L9" s="92"/>
    </row>
    <row r="10" spans="2:12" ht="27" customHeight="1" x14ac:dyDescent="0.25">
      <c r="B10" s="691"/>
      <c r="C10" s="691"/>
      <c r="D10" s="691"/>
      <c r="E10" s="689"/>
      <c r="G10" s="126"/>
      <c r="H10" s="126"/>
      <c r="I10" s="126"/>
      <c r="J10" s="126"/>
      <c r="K10" s="126"/>
      <c r="L10" s="92"/>
    </row>
    <row r="11" spans="2:12" ht="27" customHeight="1" x14ac:dyDescent="0.25">
      <c r="B11" s="691"/>
      <c r="C11" s="691"/>
      <c r="D11" s="691"/>
      <c r="E11" s="689"/>
      <c r="G11" s="126"/>
      <c r="H11" s="126"/>
      <c r="I11" s="126"/>
      <c r="J11" s="126"/>
      <c r="K11" s="126"/>
      <c r="L11" s="92"/>
    </row>
    <row r="12" spans="2:12" ht="27" customHeight="1" x14ac:dyDescent="0.25">
      <c r="B12" s="691"/>
      <c r="C12" s="691"/>
      <c r="D12" s="691"/>
      <c r="E12" s="689"/>
      <c r="G12" s="126"/>
      <c r="H12" s="126"/>
      <c r="I12" s="126"/>
      <c r="J12" s="126"/>
      <c r="K12" s="126"/>
      <c r="L12" s="92"/>
    </row>
    <row r="13" spans="2:12" ht="27" customHeight="1" x14ac:dyDescent="0.25">
      <c r="B13" s="691"/>
      <c r="C13" s="691"/>
      <c r="D13" s="691"/>
      <c r="E13" s="689"/>
      <c r="G13" s="126"/>
      <c r="H13" s="126"/>
      <c r="I13" s="126"/>
      <c r="J13" s="126"/>
      <c r="K13" s="126"/>
      <c r="L13" s="92"/>
    </row>
    <row r="14" spans="2:12" ht="27" customHeight="1" x14ac:dyDescent="0.25">
      <c r="B14" s="691"/>
      <c r="C14" s="691"/>
      <c r="D14" s="691"/>
      <c r="E14" s="689"/>
      <c r="G14" s="126"/>
      <c r="H14" s="126"/>
      <c r="I14" s="126"/>
      <c r="J14" s="126"/>
      <c r="K14" s="126"/>
      <c r="L14" s="92"/>
    </row>
    <row r="15" spans="2:12" ht="27" customHeight="1" x14ac:dyDescent="0.25">
      <c r="B15" s="691"/>
      <c r="C15" s="691"/>
      <c r="D15" s="691"/>
      <c r="E15" s="689"/>
      <c r="G15" s="126"/>
      <c r="H15" s="126"/>
      <c r="I15" s="126"/>
      <c r="J15" s="126"/>
      <c r="K15" s="126"/>
      <c r="L15" s="92"/>
    </row>
    <row r="16" spans="2:12" ht="27" customHeight="1" x14ac:dyDescent="0.25">
      <c r="B16" s="691"/>
      <c r="C16" s="691"/>
      <c r="D16" s="691"/>
      <c r="E16" s="689"/>
      <c r="G16" s="126"/>
      <c r="H16" s="126"/>
      <c r="I16" s="126"/>
      <c r="J16" s="126"/>
      <c r="K16" s="126"/>
      <c r="L16" s="92"/>
    </row>
    <row r="17" spans="2:12" ht="27" customHeight="1" x14ac:dyDescent="0.25">
      <c r="B17" s="691"/>
      <c r="C17" s="691"/>
      <c r="D17" s="691"/>
      <c r="E17" s="689"/>
      <c r="G17" s="126"/>
      <c r="H17" s="126"/>
      <c r="I17" s="126"/>
      <c r="J17" s="126"/>
      <c r="K17" s="126"/>
      <c r="L17" s="92"/>
    </row>
    <row r="18" spans="2:12" ht="27" customHeight="1" x14ac:dyDescent="0.25">
      <c r="B18" s="691"/>
      <c r="C18" s="691"/>
      <c r="D18" s="691"/>
      <c r="E18" s="689"/>
      <c r="G18" s="126"/>
      <c r="H18" s="126"/>
      <c r="I18" s="126"/>
      <c r="J18" s="126"/>
      <c r="K18" s="126"/>
      <c r="L18" s="92"/>
    </row>
    <row r="19" spans="2:12" ht="27" customHeight="1" x14ac:dyDescent="0.25">
      <c r="B19" s="691"/>
      <c r="C19" s="691"/>
      <c r="D19" s="691"/>
      <c r="E19" s="689"/>
      <c r="G19" s="126"/>
      <c r="H19" s="126"/>
      <c r="I19" s="126"/>
      <c r="J19" s="126"/>
      <c r="K19" s="126"/>
      <c r="L19" s="92"/>
    </row>
    <row r="20" spans="2:12" ht="27" customHeight="1" x14ac:dyDescent="0.25">
      <c r="B20" s="691"/>
      <c r="C20" s="691"/>
      <c r="D20" s="691"/>
      <c r="E20" s="689"/>
      <c r="G20" s="126"/>
      <c r="H20" s="126"/>
      <c r="I20" s="126"/>
      <c r="J20" s="126"/>
      <c r="K20" s="126"/>
      <c r="L20" s="92"/>
    </row>
    <row r="21" spans="2:12" ht="27" customHeight="1" x14ac:dyDescent="0.25">
      <c r="B21" s="691"/>
      <c r="C21" s="691"/>
      <c r="D21" s="691"/>
      <c r="E21" s="689"/>
      <c r="G21" s="126"/>
      <c r="H21" s="126"/>
      <c r="I21" s="126"/>
      <c r="J21" s="126"/>
      <c r="K21" s="126"/>
      <c r="L21" s="92"/>
    </row>
    <row r="22" spans="2:12" ht="27" customHeight="1" x14ac:dyDescent="0.25">
      <c r="B22" s="691"/>
      <c r="C22" s="691"/>
      <c r="D22" s="691"/>
      <c r="E22" s="689"/>
      <c r="G22" s="126"/>
      <c r="H22" s="126"/>
      <c r="I22" s="126"/>
      <c r="J22" s="126"/>
      <c r="K22" s="126"/>
      <c r="L22" s="92"/>
    </row>
    <row r="23" spans="2:12" ht="27" customHeight="1" x14ac:dyDescent="0.25">
      <c r="B23" s="691"/>
      <c r="C23" s="691"/>
      <c r="D23" s="691"/>
      <c r="E23" s="689"/>
      <c r="G23" s="126"/>
      <c r="H23" s="126"/>
      <c r="I23" s="126"/>
      <c r="J23" s="126"/>
      <c r="K23" s="126"/>
      <c r="L23" s="92"/>
    </row>
    <row r="24" spans="2:12" ht="27" customHeight="1" x14ac:dyDescent="0.25">
      <c r="B24" s="691"/>
      <c r="C24" s="691"/>
      <c r="D24" s="691"/>
      <c r="E24" s="689"/>
      <c r="G24" s="126"/>
      <c r="H24" s="126"/>
      <c r="I24" s="126"/>
      <c r="J24" s="126"/>
      <c r="K24" s="126"/>
      <c r="L24" s="92"/>
    </row>
    <row r="25" spans="2:12" ht="27" customHeight="1" x14ac:dyDescent="0.25">
      <c r="B25" s="691"/>
      <c r="C25" s="691"/>
      <c r="D25" s="691"/>
      <c r="E25" s="689"/>
      <c r="G25" s="126"/>
      <c r="H25" s="126"/>
      <c r="I25" s="126"/>
      <c r="J25" s="126"/>
      <c r="K25" s="126"/>
      <c r="L25" s="92"/>
    </row>
    <row r="26" spans="2:12" ht="27" customHeight="1" x14ac:dyDescent="0.25">
      <c r="B26" s="691"/>
      <c r="C26" s="691"/>
      <c r="D26" s="691"/>
      <c r="E26" s="689"/>
      <c r="G26" s="126"/>
      <c r="H26" s="126"/>
      <c r="I26" s="126"/>
      <c r="J26" s="126"/>
      <c r="K26" s="126"/>
      <c r="L26" s="92"/>
    </row>
    <row r="27" spans="2:12" ht="27" customHeight="1" x14ac:dyDescent="0.25">
      <c r="B27" s="691"/>
      <c r="C27" s="691"/>
      <c r="D27" s="691"/>
      <c r="E27" s="689"/>
      <c r="G27" s="126"/>
      <c r="H27" s="126"/>
      <c r="I27" s="126"/>
      <c r="J27" s="126"/>
      <c r="K27" s="126"/>
      <c r="L27" s="92"/>
    </row>
    <row r="28" spans="2:12" ht="27" customHeight="1" x14ac:dyDescent="0.25">
      <c r="B28" s="691"/>
      <c r="C28" s="691"/>
      <c r="D28" s="691"/>
      <c r="E28" s="689"/>
      <c r="G28" s="126"/>
      <c r="H28" s="126"/>
      <c r="I28" s="126"/>
      <c r="J28" s="126"/>
      <c r="K28" s="126"/>
      <c r="L28" s="92"/>
    </row>
    <row r="29" spans="2:12" ht="27" customHeight="1" x14ac:dyDescent="0.25">
      <c r="B29" s="691"/>
      <c r="C29" s="691"/>
      <c r="D29" s="691"/>
      <c r="E29" s="689"/>
      <c r="G29" s="126"/>
      <c r="H29" s="126"/>
      <c r="I29" s="126"/>
      <c r="J29" s="126"/>
      <c r="K29" s="126"/>
      <c r="L29" s="92"/>
    </row>
    <row r="30" spans="2:12" ht="27" customHeight="1" x14ac:dyDescent="0.25">
      <c r="B30" s="691"/>
      <c r="C30" s="691"/>
      <c r="D30" s="691"/>
      <c r="E30" s="689"/>
      <c r="G30" s="126"/>
      <c r="H30" s="126"/>
      <c r="I30" s="126"/>
      <c r="J30" s="126"/>
      <c r="K30" s="126"/>
      <c r="L30" s="92"/>
    </row>
    <row r="31" spans="2:12" ht="27" customHeight="1" x14ac:dyDescent="0.25">
      <c r="B31" s="691"/>
      <c r="C31" s="691"/>
      <c r="D31" s="691"/>
      <c r="E31" s="689"/>
      <c r="G31" s="126"/>
      <c r="H31" s="126"/>
      <c r="I31" s="126"/>
      <c r="J31" s="126"/>
      <c r="K31" s="126"/>
      <c r="L31" s="92"/>
    </row>
    <row r="32" spans="2:12" ht="27" customHeight="1" x14ac:dyDescent="0.25">
      <c r="B32" s="691"/>
      <c r="C32" s="691"/>
      <c r="D32" s="691"/>
      <c r="E32" s="689"/>
      <c r="G32" s="126"/>
      <c r="H32" s="126"/>
      <c r="I32" s="126"/>
      <c r="J32" s="126"/>
      <c r="K32" s="126"/>
      <c r="L32" s="92"/>
    </row>
    <row r="33" spans="2:12" ht="27" customHeight="1" x14ac:dyDescent="0.25">
      <c r="B33" s="691"/>
      <c r="C33" s="691"/>
      <c r="D33" s="691"/>
      <c r="E33" s="689"/>
      <c r="G33" s="126"/>
      <c r="H33" s="126"/>
      <c r="I33" s="126"/>
      <c r="J33" s="126"/>
      <c r="K33" s="126"/>
      <c r="L33" s="92"/>
    </row>
    <row r="34" spans="2:12" ht="27" customHeight="1" x14ac:dyDescent="0.25">
      <c r="B34" s="691"/>
      <c r="C34" s="691"/>
      <c r="D34" s="691"/>
      <c r="E34" s="689"/>
      <c r="G34" s="126"/>
      <c r="H34" s="126"/>
      <c r="I34" s="126"/>
      <c r="J34" s="126"/>
      <c r="K34" s="126"/>
      <c r="L34" s="92"/>
    </row>
    <row r="35" spans="2:12" ht="27" customHeight="1" x14ac:dyDescent="0.25">
      <c r="B35" s="691"/>
      <c r="C35" s="691"/>
      <c r="D35" s="691"/>
      <c r="E35" s="689"/>
      <c r="G35" s="126"/>
      <c r="H35" s="126"/>
      <c r="I35" s="126"/>
      <c r="J35" s="126"/>
      <c r="K35" s="126"/>
      <c r="L35" s="92"/>
    </row>
    <row r="36" spans="2:12" ht="27" customHeight="1" x14ac:dyDescent="0.25">
      <c r="B36" s="691"/>
      <c r="C36" s="691"/>
      <c r="D36" s="691"/>
      <c r="E36" s="689"/>
      <c r="G36" s="126"/>
      <c r="H36" s="126"/>
      <c r="I36" s="126"/>
      <c r="J36" s="126"/>
      <c r="K36" s="126"/>
      <c r="L36" s="92"/>
    </row>
    <row r="37" spans="2:12" ht="27" customHeight="1" x14ac:dyDescent="0.25">
      <c r="B37" s="195"/>
      <c r="C37" s="195"/>
      <c r="D37" s="195"/>
      <c r="E37" s="692"/>
      <c r="G37" s="126"/>
      <c r="H37" s="126"/>
      <c r="I37" s="126"/>
      <c r="J37" s="126"/>
      <c r="K37" s="126"/>
      <c r="L37" s="92"/>
    </row>
    <row r="38" spans="2:12" x14ac:dyDescent="0.25">
      <c r="G38" s="126"/>
      <c r="H38" s="126"/>
      <c r="I38" s="126"/>
      <c r="J38" s="126"/>
      <c r="K38" s="126"/>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73" t="s">
        <v>490</v>
      </c>
      <c r="C2" s="188" t="s">
        <v>314</v>
      </c>
      <c r="D2" s="375" t="s">
        <v>491</v>
      </c>
      <c r="E2" s="83"/>
      <c r="F2" s="379" t="s">
        <v>477</v>
      </c>
      <c r="G2" s="367" t="s">
        <v>604</v>
      </c>
      <c r="H2" s="296" t="s">
        <v>492</v>
      </c>
      <c r="I2" s="83"/>
      <c r="J2" s="982" t="s">
        <v>493</v>
      </c>
      <c r="K2" s="983"/>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6" cm="1">
        <f t="array" aca="1" ref="D24" ca="1">INDIRECT(ADDRESS(MATCH('Plant Overview'!$E$8,'Cost Conversion'!$B$3:$B$48,0)+2,3))/C24</f>
        <v>1.1603321033210332</v>
      </c>
      <c r="E24" s="83"/>
      <c r="G24" s="984" t="s">
        <v>612</v>
      </c>
      <c r="H24" s="984"/>
      <c r="I24" s="984"/>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985" t="s">
        <v>330</v>
      </c>
      <c r="C2" s="986"/>
      <c r="D2" s="986"/>
      <c r="E2" s="986"/>
      <c r="F2" s="987"/>
    </row>
    <row r="3" spans="2:11" x14ac:dyDescent="0.25">
      <c r="B3" s="97"/>
      <c r="J3" s="346"/>
      <c r="K3" s="86" t="s">
        <v>630</v>
      </c>
    </row>
    <row r="4" spans="2:11" x14ac:dyDescent="0.25">
      <c r="B4" s="97"/>
      <c r="J4" s="347"/>
      <c r="K4" s="86" t="s">
        <v>631</v>
      </c>
    </row>
    <row r="5" spans="2:11" ht="18.75" x14ac:dyDescent="0.25">
      <c r="B5" s="87" t="s">
        <v>342</v>
      </c>
      <c r="C5" s="131" t="s">
        <v>312</v>
      </c>
      <c r="D5" s="132" t="s">
        <v>350</v>
      </c>
      <c r="E5" s="132" t="s">
        <v>286</v>
      </c>
      <c r="F5" s="133" t="s">
        <v>376</v>
      </c>
      <c r="G5" s="134" t="s">
        <v>629</v>
      </c>
      <c r="H5" s="135" t="s">
        <v>628</v>
      </c>
    </row>
    <row r="6" spans="2:11" ht="15.75" x14ac:dyDescent="0.25">
      <c r="B6" s="993">
        <v>1</v>
      </c>
      <c r="C6" s="990" t="s">
        <v>313</v>
      </c>
      <c r="D6" s="136" t="s">
        <v>238</v>
      </c>
      <c r="E6" s="136"/>
      <c r="F6" s="137"/>
      <c r="G6" s="325"/>
      <c r="H6" s="329"/>
    </row>
    <row r="7" spans="2:11" ht="15.75" x14ac:dyDescent="0.25">
      <c r="B7" s="994"/>
      <c r="C7" s="991"/>
      <c r="D7" s="138"/>
      <c r="E7" s="138" t="s">
        <v>290</v>
      </c>
      <c r="F7" s="139" t="s">
        <v>288</v>
      </c>
      <c r="G7" s="321"/>
      <c r="H7" s="93"/>
    </row>
    <row r="8" spans="2:11" ht="15.75" x14ac:dyDescent="0.25">
      <c r="B8" s="994"/>
      <c r="C8" s="991"/>
      <c r="D8" s="138"/>
      <c r="E8" s="138"/>
      <c r="F8" s="139" t="s">
        <v>294</v>
      </c>
      <c r="G8" s="321"/>
      <c r="H8" s="100"/>
    </row>
    <row r="9" spans="2:11" ht="15.75" x14ac:dyDescent="0.25">
      <c r="B9" s="994"/>
      <c r="C9" s="991"/>
      <c r="D9" s="138"/>
      <c r="E9" s="138"/>
      <c r="F9" s="139" t="s">
        <v>287</v>
      </c>
      <c r="G9" s="321"/>
      <c r="H9" s="100"/>
    </row>
    <row r="10" spans="2:11" ht="15.75" x14ac:dyDescent="0.25">
      <c r="B10" s="994"/>
      <c r="C10" s="991"/>
      <c r="D10" s="138"/>
      <c r="E10" s="138"/>
      <c r="F10" s="139" t="s">
        <v>289</v>
      </c>
      <c r="G10" s="348"/>
      <c r="H10" s="100" t="s">
        <v>229</v>
      </c>
    </row>
    <row r="11" spans="2:11" ht="15.75" x14ac:dyDescent="0.25">
      <c r="B11" s="994"/>
      <c r="C11" s="991"/>
      <c r="D11" s="138"/>
      <c r="E11" s="138" t="s">
        <v>398</v>
      </c>
      <c r="F11" s="139"/>
      <c r="G11" s="321"/>
      <c r="H11" s="100"/>
    </row>
    <row r="12" spans="2:11" ht="15.75" x14ac:dyDescent="0.25">
      <c r="B12" s="995"/>
      <c r="C12" s="992"/>
      <c r="D12" s="140"/>
      <c r="E12" s="140" t="s">
        <v>291</v>
      </c>
      <c r="F12" s="146"/>
      <c r="G12" s="322"/>
      <c r="H12" s="330"/>
    </row>
    <row r="13" spans="2:11" ht="15.75" x14ac:dyDescent="0.25">
      <c r="B13" s="994">
        <v>2</v>
      </c>
      <c r="C13" s="990" t="s">
        <v>419</v>
      </c>
      <c r="D13" s="141" t="s">
        <v>285</v>
      </c>
      <c r="E13" s="141"/>
      <c r="F13" s="136" t="s">
        <v>295</v>
      </c>
      <c r="G13" s="326"/>
      <c r="H13" s="329"/>
    </row>
    <row r="14" spans="2:11" ht="15.75" x14ac:dyDescent="0.25">
      <c r="B14" s="994"/>
      <c r="C14" s="991"/>
      <c r="D14" s="142"/>
      <c r="E14" s="142" t="s">
        <v>292</v>
      </c>
      <c r="F14" s="138" t="s">
        <v>296</v>
      </c>
      <c r="G14" s="167"/>
      <c r="H14" s="100"/>
    </row>
    <row r="15" spans="2:11" ht="15.75" x14ac:dyDescent="0.25">
      <c r="B15" s="994"/>
      <c r="C15" s="991"/>
      <c r="D15" s="142"/>
      <c r="E15" s="142" t="s">
        <v>338</v>
      </c>
      <c r="F15" s="138" t="s">
        <v>323</v>
      </c>
      <c r="G15" s="349"/>
      <c r="H15" s="100"/>
    </row>
    <row r="16" spans="2:11" ht="15.75" x14ac:dyDescent="0.25">
      <c r="B16" s="994"/>
      <c r="C16" s="991"/>
      <c r="D16" s="142"/>
      <c r="E16" s="142" t="s">
        <v>293</v>
      </c>
      <c r="F16" s="138" t="s">
        <v>324</v>
      </c>
      <c r="G16" s="318"/>
      <c r="H16" s="100"/>
    </row>
    <row r="17" spans="2:8" ht="15.75" x14ac:dyDescent="0.25">
      <c r="B17" s="994"/>
      <c r="C17" s="991"/>
      <c r="D17" s="142"/>
      <c r="E17" s="142" t="s">
        <v>297</v>
      </c>
      <c r="F17" s="138" t="s">
        <v>336</v>
      </c>
      <c r="G17" s="318"/>
      <c r="H17" s="100"/>
    </row>
    <row r="18" spans="2:8" ht="15.75" x14ac:dyDescent="0.25">
      <c r="B18" s="994"/>
      <c r="C18" s="991"/>
      <c r="D18" s="142"/>
      <c r="E18" s="142" t="s">
        <v>335</v>
      </c>
      <c r="F18" s="138" t="s">
        <v>337</v>
      </c>
      <c r="G18" s="318"/>
      <c r="H18" s="100"/>
    </row>
    <row r="19" spans="2:8" ht="15.75" x14ac:dyDescent="0.25">
      <c r="B19" s="994"/>
      <c r="C19" s="991"/>
      <c r="D19" s="142"/>
      <c r="E19" s="142" t="s">
        <v>339</v>
      </c>
      <c r="F19" s="138" t="s">
        <v>345</v>
      </c>
      <c r="G19" s="318"/>
      <c r="H19" s="100"/>
    </row>
    <row r="20" spans="2:8" ht="15.75" x14ac:dyDescent="0.25">
      <c r="B20" s="994"/>
      <c r="C20" s="991"/>
      <c r="D20" s="142"/>
      <c r="E20" s="142"/>
      <c r="F20" s="138" t="s">
        <v>346</v>
      </c>
      <c r="G20" s="318"/>
      <c r="H20" s="100"/>
    </row>
    <row r="21" spans="2:8" ht="15.75" x14ac:dyDescent="0.25">
      <c r="B21" s="994"/>
      <c r="C21" s="991"/>
      <c r="D21" s="142"/>
      <c r="E21" s="142"/>
      <c r="F21" s="138" t="s">
        <v>347</v>
      </c>
      <c r="G21" s="318"/>
      <c r="H21" s="100"/>
    </row>
    <row r="22" spans="2:8" ht="15.75" x14ac:dyDescent="0.25">
      <c r="B22" s="994"/>
      <c r="C22" s="991"/>
      <c r="D22" s="142" t="s">
        <v>317</v>
      </c>
      <c r="E22" s="142"/>
      <c r="F22" s="138"/>
      <c r="G22" s="318"/>
      <c r="H22" s="100"/>
    </row>
    <row r="23" spans="2:8" ht="15.75" x14ac:dyDescent="0.25">
      <c r="B23" s="994"/>
      <c r="C23" s="991"/>
      <c r="D23" s="142"/>
      <c r="E23" s="142" t="s">
        <v>318</v>
      </c>
      <c r="F23" s="138"/>
      <c r="G23" s="318"/>
      <c r="H23" s="100"/>
    </row>
    <row r="24" spans="2:8" ht="15.75" x14ac:dyDescent="0.25">
      <c r="B24" s="994"/>
      <c r="C24" s="991"/>
      <c r="D24" s="142"/>
      <c r="E24" s="142" t="s">
        <v>319</v>
      </c>
      <c r="F24" s="138"/>
      <c r="G24" s="318"/>
      <c r="H24" s="100"/>
    </row>
    <row r="25" spans="2:8" ht="15.75" x14ac:dyDescent="0.25">
      <c r="B25" s="994"/>
      <c r="C25" s="991"/>
      <c r="D25" s="142"/>
      <c r="E25" s="142" t="s">
        <v>390</v>
      </c>
      <c r="F25" s="138" t="s">
        <v>391</v>
      </c>
      <c r="G25" s="318"/>
      <c r="H25" s="100"/>
    </row>
    <row r="26" spans="2:8" ht="15.75" x14ac:dyDescent="0.25">
      <c r="B26" s="994"/>
      <c r="C26" s="991"/>
      <c r="D26" s="142"/>
      <c r="E26" s="142"/>
      <c r="F26" s="138" t="s">
        <v>392</v>
      </c>
      <c r="G26" s="318"/>
      <c r="H26" s="100"/>
    </row>
    <row r="27" spans="2:8" ht="15.75" x14ac:dyDescent="0.25">
      <c r="B27" s="995"/>
      <c r="C27" s="992"/>
      <c r="D27" s="143"/>
      <c r="E27" s="143" t="s">
        <v>434</v>
      </c>
      <c r="F27" s="140"/>
      <c r="G27" s="323"/>
      <c r="H27" s="330"/>
    </row>
    <row r="28" spans="2:8" ht="15.75" x14ac:dyDescent="0.25">
      <c r="B28" s="993">
        <v>3</v>
      </c>
      <c r="C28" s="838" t="s">
        <v>316</v>
      </c>
      <c r="D28" s="136" t="s">
        <v>40</v>
      </c>
      <c r="E28" s="136"/>
      <c r="F28" s="137"/>
      <c r="G28" s="325"/>
      <c r="H28" s="329"/>
    </row>
    <row r="29" spans="2:8" ht="15.75" x14ac:dyDescent="0.25">
      <c r="B29" s="994"/>
      <c r="C29" s="989"/>
      <c r="D29" s="138"/>
      <c r="E29" s="138" t="s">
        <v>298</v>
      </c>
      <c r="F29" s="139" t="s">
        <v>301</v>
      </c>
      <c r="G29" s="321"/>
      <c r="H29" s="100"/>
    </row>
    <row r="30" spans="2:8" ht="15.75" x14ac:dyDescent="0.25">
      <c r="B30" s="994"/>
      <c r="C30" s="989"/>
      <c r="D30" s="138"/>
      <c r="E30" s="138" t="s">
        <v>299</v>
      </c>
      <c r="F30" s="139" t="s">
        <v>302</v>
      </c>
      <c r="G30" s="321"/>
      <c r="H30" s="100"/>
    </row>
    <row r="31" spans="2:8" ht="15.75" x14ac:dyDescent="0.25">
      <c r="B31" s="994"/>
      <c r="C31" s="989"/>
      <c r="D31" s="138"/>
      <c r="E31" s="138" t="s">
        <v>300</v>
      </c>
      <c r="F31" s="139" t="s">
        <v>303</v>
      </c>
      <c r="G31" s="321"/>
      <c r="H31" s="100"/>
    </row>
    <row r="32" spans="2:8" ht="15.75" x14ac:dyDescent="0.25">
      <c r="B32" s="994"/>
      <c r="C32" s="989"/>
      <c r="D32" s="138"/>
      <c r="E32" s="138" t="s">
        <v>363</v>
      </c>
      <c r="F32" s="139"/>
      <c r="G32" s="321"/>
      <c r="H32" s="100"/>
    </row>
    <row r="33" spans="2:8" ht="15.75" x14ac:dyDescent="0.25">
      <c r="B33" s="994"/>
      <c r="C33" s="989"/>
      <c r="D33" s="138" t="s">
        <v>405</v>
      </c>
      <c r="E33" s="138" t="s">
        <v>41</v>
      </c>
      <c r="F33" s="139"/>
      <c r="G33" s="321"/>
      <c r="H33" s="100"/>
    </row>
    <row r="34" spans="2:8" ht="15.75" x14ac:dyDescent="0.25">
      <c r="B34" s="994"/>
      <c r="C34" s="989"/>
      <c r="D34" s="138"/>
      <c r="E34" s="138" t="s">
        <v>331</v>
      </c>
      <c r="F34" s="139" t="s">
        <v>410</v>
      </c>
      <c r="G34" s="321"/>
      <c r="H34" s="100"/>
    </row>
    <row r="35" spans="2:8" ht="15.75" x14ac:dyDescent="0.25">
      <c r="B35" s="994"/>
      <c r="C35" s="989"/>
      <c r="D35" s="138"/>
      <c r="E35" s="138"/>
      <c r="F35" s="139" t="s">
        <v>411</v>
      </c>
      <c r="G35" s="321"/>
      <c r="H35" s="100"/>
    </row>
    <row r="36" spans="2:8" ht="15.75" x14ac:dyDescent="0.25">
      <c r="B36" s="994"/>
      <c r="C36" s="989"/>
      <c r="D36" s="138"/>
      <c r="E36" s="138" t="s">
        <v>406</v>
      </c>
      <c r="F36" s="139" t="s">
        <v>409</v>
      </c>
      <c r="G36" s="321"/>
      <c r="H36" s="100"/>
    </row>
    <row r="37" spans="2:8" ht="15.75" x14ac:dyDescent="0.25">
      <c r="B37" s="994"/>
      <c r="C37" s="989"/>
      <c r="D37" s="138" t="s">
        <v>414</v>
      </c>
      <c r="E37" s="138" t="s">
        <v>332</v>
      </c>
      <c r="F37" s="139"/>
      <c r="G37" s="321"/>
      <c r="H37" s="100"/>
    </row>
    <row r="38" spans="2:8" ht="15.75" x14ac:dyDescent="0.25">
      <c r="B38" s="994"/>
      <c r="C38" s="989"/>
      <c r="D38" s="138"/>
      <c r="E38" s="138" t="s">
        <v>349</v>
      </c>
      <c r="F38" s="139"/>
      <c r="G38" s="321"/>
      <c r="H38" s="100"/>
    </row>
    <row r="39" spans="2:8" ht="15.75" x14ac:dyDescent="0.25">
      <c r="B39" s="994"/>
      <c r="C39" s="989"/>
      <c r="D39" s="138" t="s">
        <v>408</v>
      </c>
      <c r="E39" s="138" t="s">
        <v>436</v>
      </c>
      <c r="F39" s="139"/>
      <c r="G39" s="321"/>
      <c r="H39" s="100"/>
    </row>
    <row r="40" spans="2:8" ht="15.75" x14ac:dyDescent="0.25">
      <c r="B40" s="994"/>
      <c r="C40" s="989"/>
      <c r="D40" s="138" t="s">
        <v>437</v>
      </c>
      <c r="E40" s="138"/>
      <c r="F40" s="139"/>
      <c r="G40" s="321"/>
      <c r="H40" s="100"/>
    </row>
    <row r="41" spans="2:8" ht="15.75" x14ac:dyDescent="0.25">
      <c r="B41" s="994"/>
      <c r="C41" s="989"/>
      <c r="D41" s="138"/>
      <c r="E41" s="138" t="s">
        <v>404</v>
      </c>
      <c r="F41" s="139"/>
      <c r="G41" s="321"/>
      <c r="H41" s="100"/>
    </row>
    <row r="42" spans="2:8" ht="15.75" x14ac:dyDescent="0.25">
      <c r="B42" s="994"/>
      <c r="C42" s="989"/>
      <c r="D42" s="138"/>
      <c r="E42" s="138" t="s">
        <v>407</v>
      </c>
      <c r="F42" s="139"/>
      <c r="G42" s="321"/>
      <c r="H42" s="100"/>
    </row>
    <row r="43" spans="2:8" ht="15.75" x14ac:dyDescent="0.25">
      <c r="B43" s="994"/>
      <c r="C43" s="989"/>
      <c r="D43" s="138" t="s">
        <v>375</v>
      </c>
      <c r="E43" s="138"/>
      <c r="F43" s="139"/>
      <c r="G43" s="321"/>
      <c r="H43" s="100"/>
    </row>
    <row r="44" spans="2:8" ht="15.75" x14ac:dyDescent="0.25">
      <c r="B44" s="994"/>
      <c r="C44" s="989"/>
      <c r="D44" s="138" t="s">
        <v>402</v>
      </c>
      <c r="E44" s="138"/>
      <c r="F44" s="139"/>
      <c r="G44" s="321"/>
      <c r="H44" s="100"/>
    </row>
    <row r="45" spans="2:8" ht="15.75" x14ac:dyDescent="0.25">
      <c r="B45" s="994"/>
      <c r="C45" s="989"/>
      <c r="D45" s="138" t="s">
        <v>403</v>
      </c>
      <c r="E45" s="138"/>
      <c r="F45" s="139"/>
      <c r="G45" s="321"/>
      <c r="H45" s="100"/>
    </row>
    <row r="46" spans="2:8" ht="15.75" x14ac:dyDescent="0.25">
      <c r="B46" s="994"/>
      <c r="C46" s="989"/>
      <c r="D46" s="138"/>
      <c r="E46" s="138" t="s">
        <v>400</v>
      </c>
      <c r="F46" s="139"/>
      <c r="G46" s="321"/>
      <c r="H46" s="100"/>
    </row>
    <row r="47" spans="2:8" ht="15.75" x14ac:dyDescent="0.25">
      <c r="B47" s="994"/>
      <c r="C47" s="989"/>
      <c r="D47" s="138"/>
      <c r="E47" s="138" t="s">
        <v>412</v>
      </c>
      <c r="F47" s="139"/>
      <c r="G47" s="321"/>
      <c r="H47" s="100"/>
    </row>
    <row r="48" spans="2:8" ht="15.75" x14ac:dyDescent="0.25">
      <c r="B48" s="994"/>
      <c r="C48" s="989"/>
      <c r="D48" s="138" t="s">
        <v>355</v>
      </c>
      <c r="E48" s="138"/>
      <c r="F48" s="139"/>
      <c r="G48" s="321"/>
      <c r="H48" s="100"/>
    </row>
    <row r="49" spans="2:8" ht="15.75" x14ac:dyDescent="0.25">
      <c r="B49" s="994"/>
      <c r="C49" s="989"/>
      <c r="D49" s="144"/>
      <c r="E49" s="138" t="s">
        <v>413</v>
      </c>
      <c r="F49" s="139"/>
      <c r="G49" s="321"/>
      <c r="H49" s="100"/>
    </row>
    <row r="50" spans="2:8" ht="15.75" x14ac:dyDescent="0.25">
      <c r="B50" s="994"/>
      <c r="C50" s="989"/>
      <c r="D50" s="144"/>
      <c r="E50" s="138" t="s">
        <v>401</v>
      </c>
      <c r="F50" s="139"/>
      <c r="G50" s="321"/>
      <c r="H50" s="100"/>
    </row>
    <row r="51" spans="2:8" ht="15.75" x14ac:dyDescent="0.25">
      <c r="B51" s="995"/>
      <c r="C51" s="839"/>
      <c r="D51" s="344"/>
      <c r="E51" s="140" t="s">
        <v>364</v>
      </c>
      <c r="F51" s="146"/>
      <c r="G51" s="322"/>
      <c r="H51" s="330"/>
    </row>
    <row r="52" spans="2:8" ht="15.75" x14ac:dyDescent="0.25">
      <c r="B52" s="993">
        <v>4</v>
      </c>
      <c r="C52" s="996" t="s">
        <v>435</v>
      </c>
      <c r="D52" s="136" t="s">
        <v>344</v>
      </c>
      <c r="E52" s="141"/>
      <c r="F52" s="136"/>
      <c r="G52" s="325"/>
      <c r="H52" s="329"/>
    </row>
    <row r="53" spans="2:8" ht="15.75" x14ac:dyDescent="0.25">
      <c r="B53" s="994"/>
      <c r="C53" s="997"/>
      <c r="D53" s="138"/>
      <c r="E53" s="142" t="s">
        <v>307</v>
      </c>
      <c r="F53" s="138" t="s">
        <v>304</v>
      </c>
      <c r="G53" s="321"/>
      <c r="H53" s="100"/>
    </row>
    <row r="54" spans="2:8" ht="15.75" x14ac:dyDescent="0.25">
      <c r="B54" s="994"/>
      <c r="C54" s="997"/>
      <c r="D54" s="138"/>
      <c r="E54" s="142" t="s">
        <v>306</v>
      </c>
      <c r="F54" s="138" t="s">
        <v>305</v>
      </c>
      <c r="G54" s="321"/>
      <c r="H54" s="100"/>
    </row>
    <row r="55" spans="2:8" ht="15.75" x14ac:dyDescent="0.25">
      <c r="B55" s="994"/>
      <c r="C55" s="997"/>
      <c r="D55" s="138"/>
      <c r="E55" s="142" t="s">
        <v>429</v>
      </c>
      <c r="F55" s="138"/>
      <c r="G55" s="321"/>
      <c r="H55" s="100"/>
    </row>
    <row r="56" spans="2:8" ht="15.75" x14ac:dyDescent="0.25">
      <c r="B56" s="994"/>
      <c r="C56" s="997"/>
      <c r="D56" s="138" t="s">
        <v>343</v>
      </c>
      <c r="E56" s="142"/>
      <c r="F56" s="138"/>
      <c r="G56" s="321"/>
      <c r="H56" s="100"/>
    </row>
    <row r="57" spans="2:8" ht="15.75" x14ac:dyDescent="0.25">
      <c r="B57" s="994"/>
      <c r="C57" s="997"/>
      <c r="D57" s="138"/>
      <c r="E57" s="142" t="s">
        <v>307</v>
      </c>
      <c r="F57" s="138"/>
      <c r="G57" s="321"/>
      <c r="H57" s="100"/>
    </row>
    <row r="58" spans="2:8" ht="15.75" x14ac:dyDescent="0.25">
      <c r="B58" s="994"/>
      <c r="C58" s="997"/>
      <c r="D58" s="138" t="s">
        <v>430</v>
      </c>
      <c r="E58" s="345"/>
      <c r="F58" s="138"/>
      <c r="G58" s="321"/>
      <c r="H58" s="100"/>
    </row>
    <row r="59" spans="2:8" ht="15.75" x14ac:dyDescent="0.25">
      <c r="B59" s="994"/>
      <c r="C59" s="997"/>
      <c r="D59" s="138"/>
      <c r="E59" s="142" t="s">
        <v>423</v>
      </c>
      <c r="F59" s="138" t="s">
        <v>427</v>
      </c>
      <c r="G59" s="321"/>
      <c r="H59" s="100"/>
    </row>
    <row r="60" spans="2:8" ht="15.75" x14ac:dyDescent="0.25">
      <c r="B60" s="994"/>
      <c r="C60" s="997"/>
      <c r="D60" s="138"/>
      <c r="E60" s="142" t="s">
        <v>425</v>
      </c>
      <c r="F60" s="138" t="s">
        <v>200</v>
      </c>
      <c r="G60" s="321"/>
      <c r="H60" s="100"/>
    </row>
    <row r="61" spans="2:8" ht="15.75" x14ac:dyDescent="0.25">
      <c r="B61" s="994"/>
      <c r="C61" s="997"/>
      <c r="D61" s="138"/>
      <c r="E61" s="142" t="s">
        <v>424</v>
      </c>
      <c r="F61" s="138" t="s">
        <v>428</v>
      </c>
      <c r="G61" s="321"/>
      <c r="H61" s="100"/>
    </row>
    <row r="62" spans="2:8" ht="15.75" x14ac:dyDescent="0.25">
      <c r="B62" s="994"/>
      <c r="C62" s="997"/>
      <c r="D62" s="138" t="s">
        <v>632</v>
      </c>
      <c r="E62" s="142"/>
      <c r="F62" s="138"/>
      <c r="G62" s="321"/>
      <c r="H62" s="100"/>
    </row>
    <row r="63" spans="2:8" ht="15.75" x14ac:dyDescent="0.25">
      <c r="B63" s="995"/>
      <c r="C63" s="998"/>
      <c r="D63" s="140"/>
      <c r="E63" s="143"/>
      <c r="F63" s="140"/>
      <c r="G63" s="322"/>
      <c r="H63" s="330"/>
    </row>
    <row r="64" spans="2:8" ht="15.75" x14ac:dyDescent="0.25">
      <c r="B64" s="993">
        <v>5</v>
      </c>
      <c r="C64" s="990" t="s">
        <v>420</v>
      </c>
      <c r="D64" s="136" t="s">
        <v>328</v>
      </c>
      <c r="E64" s="136"/>
      <c r="F64" s="137"/>
      <c r="G64" s="325"/>
      <c r="H64" s="329"/>
    </row>
    <row r="65" spans="2:8" ht="15.75" x14ac:dyDescent="0.25">
      <c r="B65" s="994"/>
      <c r="C65" s="991"/>
      <c r="D65" s="138"/>
      <c r="E65" s="138" t="s">
        <v>308</v>
      </c>
      <c r="F65" s="139" t="s">
        <v>305</v>
      </c>
      <c r="G65" s="321"/>
      <c r="H65" s="100"/>
    </row>
    <row r="66" spans="2:8" ht="15.75" x14ac:dyDescent="0.25">
      <c r="B66" s="994"/>
      <c r="C66" s="991"/>
      <c r="D66" s="138"/>
      <c r="E66" s="138"/>
      <c r="F66" s="139" t="s">
        <v>310</v>
      </c>
      <c r="G66" s="321"/>
      <c r="H66" s="100"/>
    </row>
    <row r="67" spans="2:8" ht="15.75" x14ac:dyDescent="0.25">
      <c r="B67" s="994"/>
      <c r="C67" s="991"/>
      <c r="D67" s="138"/>
      <c r="E67" s="138" t="s">
        <v>309</v>
      </c>
      <c r="F67" s="144" t="s">
        <v>311</v>
      </c>
      <c r="G67" s="321"/>
      <c r="H67" s="100"/>
    </row>
    <row r="68" spans="2:8" ht="15.75" x14ac:dyDescent="0.25">
      <c r="B68" s="994"/>
      <c r="C68" s="991"/>
      <c r="D68" s="138"/>
      <c r="E68" s="138"/>
      <c r="F68" s="139" t="s">
        <v>260</v>
      </c>
      <c r="G68" s="321"/>
      <c r="H68" s="100"/>
    </row>
    <row r="69" spans="2:8" ht="15.75" x14ac:dyDescent="0.25">
      <c r="B69" s="994"/>
      <c r="C69" s="991"/>
      <c r="D69" s="138"/>
      <c r="E69" s="138" t="s">
        <v>334</v>
      </c>
      <c r="F69" s="139"/>
      <c r="G69" s="321"/>
      <c r="H69" s="100"/>
    </row>
    <row r="70" spans="2:8" ht="15.75" x14ac:dyDescent="0.25">
      <c r="B70" s="994"/>
      <c r="C70" s="991"/>
      <c r="D70" s="138" t="s">
        <v>418</v>
      </c>
      <c r="E70" s="138"/>
      <c r="F70" s="139"/>
      <c r="G70" s="321"/>
      <c r="H70" s="100"/>
    </row>
    <row r="71" spans="2:8" ht="15.75" x14ac:dyDescent="0.25">
      <c r="B71" s="994"/>
      <c r="C71" s="991"/>
      <c r="D71" s="138"/>
      <c r="E71" s="138" t="s">
        <v>291</v>
      </c>
      <c r="F71" s="139"/>
      <c r="G71" s="321"/>
      <c r="H71" s="100"/>
    </row>
    <row r="72" spans="2:8" ht="15.75" x14ac:dyDescent="0.25">
      <c r="B72" s="994"/>
      <c r="C72" s="991"/>
      <c r="D72" s="138" t="s">
        <v>393</v>
      </c>
      <c r="E72" s="138"/>
      <c r="F72" s="139"/>
      <c r="G72" s="321"/>
      <c r="H72" s="100"/>
    </row>
    <row r="73" spans="2:8" ht="15.75" x14ac:dyDescent="0.25">
      <c r="B73" s="994"/>
      <c r="C73" s="991"/>
      <c r="D73" s="138"/>
      <c r="E73" s="138" t="s">
        <v>394</v>
      </c>
      <c r="F73" s="139" t="s">
        <v>391</v>
      </c>
      <c r="G73" s="321"/>
      <c r="H73" s="100"/>
    </row>
    <row r="74" spans="2:8" ht="15.75" x14ac:dyDescent="0.25">
      <c r="B74" s="994"/>
      <c r="C74" s="991"/>
      <c r="D74" s="138"/>
      <c r="E74" s="138" t="s">
        <v>395</v>
      </c>
      <c r="F74" s="139" t="s">
        <v>396</v>
      </c>
      <c r="G74" s="321"/>
      <c r="H74" s="100"/>
    </row>
    <row r="75" spans="2:8" ht="15.75" x14ac:dyDescent="0.25">
      <c r="B75" s="994"/>
      <c r="C75" s="991"/>
      <c r="D75" s="138" t="s">
        <v>426</v>
      </c>
      <c r="E75" s="138"/>
      <c r="F75" s="139"/>
      <c r="G75" s="321"/>
      <c r="H75" s="100"/>
    </row>
    <row r="76" spans="2:8" ht="15.75" x14ac:dyDescent="0.25">
      <c r="B76" s="994"/>
      <c r="C76" s="991"/>
      <c r="D76" s="138"/>
      <c r="E76" s="138" t="s">
        <v>421</v>
      </c>
      <c r="F76" s="139"/>
      <c r="G76" s="321"/>
      <c r="H76" s="100"/>
    </row>
    <row r="77" spans="2:8" ht="15.75" x14ac:dyDescent="0.25">
      <c r="B77" s="994"/>
      <c r="C77" s="991"/>
      <c r="D77" s="138"/>
      <c r="E77" s="145"/>
      <c r="F77" s="139" t="s">
        <v>333</v>
      </c>
      <c r="G77" s="321"/>
      <c r="H77" s="100"/>
    </row>
    <row r="78" spans="2:8" ht="15.75" x14ac:dyDescent="0.25">
      <c r="B78" s="994"/>
      <c r="C78" s="991"/>
      <c r="D78" s="138"/>
      <c r="E78" s="145"/>
      <c r="F78" s="139" t="s">
        <v>433</v>
      </c>
      <c r="G78" s="321"/>
      <c r="H78" s="100"/>
    </row>
    <row r="79" spans="2:8" ht="15.75" x14ac:dyDescent="0.25">
      <c r="B79" s="994"/>
      <c r="C79" s="991"/>
      <c r="D79" s="138"/>
      <c r="E79" s="138" t="s">
        <v>422</v>
      </c>
      <c r="F79" s="139"/>
      <c r="G79" s="321"/>
      <c r="H79" s="100"/>
    </row>
    <row r="80" spans="2:8" ht="15.75" x14ac:dyDescent="0.25">
      <c r="B80" s="994"/>
      <c r="C80" s="991"/>
      <c r="D80" s="138"/>
      <c r="E80" s="138"/>
      <c r="F80" s="139"/>
      <c r="G80" s="321"/>
      <c r="H80" s="100"/>
    </row>
    <row r="81" spans="2:8" ht="15.75" x14ac:dyDescent="0.25">
      <c r="B81" s="994"/>
      <c r="C81" s="991"/>
      <c r="D81" s="138"/>
      <c r="E81" s="138"/>
      <c r="F81" s="139"/>
      <c r="G81" s="321"/>
      <c r="H81" s="100"/>
    </row>
    <row r="82" spans="2:8" ht="15.75" x14ac:dyDescent="0.25">
      <c r="B82" s="994"/>
      <c r="C82" s="991"/>
      <c r="D82" s="138"/>
      <c r="E82" s="138"/>
      <c r="F82" s="139"/>
      <c r="G82" s="321"/>
      <c r="H82" s="100"/>
    </row>
    <row r="83" spans="2:8" ht="15.75" x14ac:dyDescent="0.25">
      <c r="B83" s="995"/>
      <c r="C83" s="992"/>
      <c r="D83" s="140"/>
      <c r="E83" s="140"/>
      <c r="F83" s="146"/>
      <c r="G83" s="322"/>
      <c r="H83" s="330"/>
    </row>
    <row r="84" spans="2:8" ht="15.75" x14ac:dyDescent="0.25">
      <c r="B84" s="993">
        <v>6</v>
      </c>
      <c r="C84" s="838" t="s">
        <v>431</v>
      </c>
      <c r="D84" s="136" t="s">
        <v>326</v>
      </c>
      <c r="E84" s="136"/>
      <c r="F84" s="137"/>
      <c r="G84" s="325"/>
      <c r="H84" s="329"/>
    </row>
    <row r="85" spans="2:8" ht="15.75" x14ac:dyDescent="0.25">
      <c r="B85" s="994"/>
      <c r="C85" s="989"/>
      <c r="D85" s="138"/>
      <c r="E85" s="138" t="s">
        <v>320</v>
      </c>
      <c r="F85" s="139" t="s">
        <v>321</v>
      </c>
      <c r="G85" s="321"/>
      <c r="H85" s="100"/>
    </row>
    <row r="86" spans="2:8" ht="15.75" x14ac:dyDescent="0.25">
      <c r="B86" s="994"/>
      <c r="C86" s="989"/>
      <c r="D86" s="138"/>
      <c r="E86" s="138"/>
      <c r="F86" s="139" t="s">
        <v>325</v>
      </c>
      <c r="G86" s="321"/>
      <c r="H86" s="100"/>
    </row>
    <row r="87" spans="2:8" ht="15.75" x14ac:dyDescent="0.25">
      <c r="B87" s="994"/>
      <c r="C87" s="989"/>
      <c r="D87" s="138" t="s">
        <v>327</v>
      </c>
      <c r="E87" s="138"/>
      <c r="F87" s="139"/>
      <c r="G87" s="321"/>
      <c r="H87" s="100"/>
    </row>
    <row r="88" spans="2:8" ht="15.75" x14ac:dyDescent="0.25">
      <c r="B88" s="994"/>
      <c r="C88" s="989"/>
      <c r="D88" s="138"/>
      <c r="E88" s="138" t="s">
        <v>322</v>
      </c>
      <c r="F88" s="139"/>
      <c r="G88" s="321"/>
      <c r="H88" s="100"/>
    </row>
    <row r="89" spans="2:8" ht="15.75" x14ac:dyDescent="0.25">
      <c r="B89" s="994"/>
      <c r="C89" s="989"/>
      <c r="D89" s="138"/>
      <c r="E89" s="138" t="s">
        <v>329</v>
      </c>
      <c r="F89" s="139"/>
      <c r="G89" s="321"/>
      <c r="H89" s="100"/>
    </row>
    <row r="90" spans="2:8" ht="15.75" x14ac:dyDescent="0.25">
      <c r="B90" s="994"/>
      <c r="C90" s="989"/>
      <c r="D90" s="138"/>
      <c r="E90" s="138" t="s">
        <v>389</v>
      </c>
      <c r="F90" s="139"/>
      <c r="G90" s="321"/>
      <c r="H90" s="100"/>
    </row>
    <row r="91" spans="2:8" ht="15.75" x14ac:dyDescent="0.25">
      <c r="B91" s="994"/>
      <c r="C91" s="989"/>
      <c r="D91" s="138"/>
      <c r="E91" s="138"/>
      <c r="F91" s="139" t="s">
        <v>432</v>
      </c>
      <c r="G91" s="321"/>
      <c r="H91" s="100"/>
    </row>
    <row r="92" spans="2:8" ht="15.75" x14ac:dyDescent="0.25">
      <c r="B92" s="994"/>
      <c r="C92" s="989"/>
      <c r="D92" s="138" t="s">
        <v>361</v>
      </c>
      <c r="E92" s="138"/>
      <c r="F92" s="139"/>
      <c r="G92" s="321"/>
      <c r="H92" s="100"/>
    </row>
    <row r="93" spans="2:8" ht="15.75" x14ac:dyDescent="0.25">
      <c r="B93" s="994"/>
      <c r="C93" s="989"/>
      <c r="D93" s="138"/>
      <c r="E93" s="138" t="s">
        <v>362</v>
      </c>
      <c r="F93" s="139" t="s">
        <v>366</v>
      </c>
      <c r="G93" s="321"/>
      <c r="H93" s="100"/>
    </row>
    <row r="94" spans="2:8" ht="15.75" x14ac:dyDescent="0.25">
      <c r="B94" s="994"/>
      <c r="C94" s="989"/>
      <c r="D94" s="138"/>
      <c r="E94" s="138"/>
      <c r="F94" s="139" t="s">
        <v>367</v>
      </c>
      <c r="G94" s="321"/>
      <c r="H94" s="100"/>
    </row>
    <row r="95" spans="2:8" ht="15.75" x14ac:dyDescent="0.25">
      <c r="B95" s="994"/>
      <c r="C95" s="989"/>
      <c r="D95" s="138" t="s">
        <v>368</v>
      </c>
      <c r="E95" s="138"/>
      <c r="F95" s="139"/>
      <c r="G95" s="321"/>
      <c r="H95" s="100"/>
    </row>
    <row r="96" spans="2:8" ht="15.75" x14ac:dyDescent="0.25">
      <c r="B96" s="994"/>
      <c r="C96" s="989"/>
      <c r="D96" s="138"/>
      <c r="E96" s="138" t="s">
        <v>369</v>
      </c>
      <c r="F96" s="139" t="s">
        <v>371</v>
      </c>
      <c r="G96" s="321"/>
      <c r="H96" s="100"/>
    </row>
    <row r="97" spans="2:8" ht="15.75" x14ac:dyDescent="0.25">
      <c r="B97" s="994"/>
      <c r="C97" s="989"/>
      <c r="D97" s="138"/>
      <c r="E97" s="138" t="s">
        <v>370</v>
      </c>
      <c r="F97" s="139" t="s">
        <v>372</v>
      </c>
      <c r="G97" s="321"/>
      <c r="H97" s="100"/>
    </row>
    <row r="98" spans="2:8" ht="15.75" x14ac:dyDescent="0.25">
      <c r="B98" s="994"/>
      <c r="C98" s="989"/>
      <c r="D98" s="138"/>
      <c r="E98" s="138"/>
      <c r="F98" s="139" t="s">
        <v>373</v>
      </c>
      <c r="G98" s="321"/>
      <c r="H98" s="100"/>
    </row>
    <row r="99" spans="2:8" ht="15.75" x14ac:dyDescent="0.25">
      <c r="B99" s="995"/>
      <c r="C99" s="839"/>
      <c r="D99" s="140"/>
      <c r="E99" s="140" t="s">
        <v>374</v>
      </c>
      <c r="F99" s="146"/>
      <c r="G99" s="322"/>
      <c r="H99" s="330"/>
    </row>
    <row r="100" spans="2:8" ht="15.75" x14ac:dyDescent="0.25">
      <c r="B100" s="988">
        <v>7</v>
      </c>
      <c r="C100" s="989" t="s">
        <v>415</v>
      </c>
      <c r="D100" s="138"/>
      <c r="E100" s="138"/>
      <c r="F100" s="139"/>
      <c r="G100" s="321"/>
      <c r="H100" s="100"/>
    </row>
    <row r="101" spans="2:8" ht="15.75" x14ac:dyDescent="0.25">
      <c r="B101" s="961"/>
      <c r="C101" s="989"/>
      <c r="D101" s="138" t="s">
        <v>377</v>
      </c>
      <c r="E101" s="147" t="s">
        <v>378</v>
      </c>
      <c r="F101" s="139"/>
      <c r="G101" s="321"/>
      <c r="H101" s="100"/>
    </row>
    <row r="102" spans="2:8" ht="15.75" x14ac:dyDescent="0.25">
      <c r="B102" s="961"/>
      <c r="C102" s="989"/>
      <c r="D102" s="138"/>
      <c r="E102" s="138" t="s">
        <v>397</v>
      </c>
      <c r="F102" s="139" t="s">
        <v>381</v>
      </c>
      <c r="G102" s="321"/>
      <c r="H102" s="100"/>
    </row>
    <row r="103" spans="2:8" ht="15.75" x14ac:dyDescent="0.25">
      <c r="B103" s="961"/>
      <c r="C103" s="989"/>
      <c r="D103" s="138" t="s">
        <v>382</v>
      </c>
      <c r="E103" s="138"/>
      <c r="F103" s="139"/>
      <c r="G103" s="321"/>
      <c r="H103" s="100"/>
    </row>
    <row r="104" spans="2:8" ht="15.75" x14ac:dyDescent="0.25">
      <c r="B104" s="961"/>
      <c r="C104" s="989"/>
      <c r="D104" s="138"/>
      <c r="E104" s="147" t="s">
        <v>379</v>
      </c>
      <c r="F104" s="139" t="s">
        <v>416</v>
      </c>
      <c r="G104" s="321"/>
      <c r="H104" s="100"/>
    </row>
    <row r="105" spans="2:8" ht="15.75" x14ac:dyDescent="0.25">
      <c r="B105" s="961"/>
      <c r="C105" s="989"/>
      <c r="D105" s="138"/>
      <c r="E105" s="138" t="s">
        <v>383</v>
      </c>
      <c r="F105" s="139" t="s">
        <v>417</v>
      </c>
      <c r="G105" s="321"/>
      <c r="H105" s="100"/>
    </row>
    <row r="106" spans="2:8" ht="15.75" x14ac:dyDescent="0.25">
      <c r="B106" s="961"/>
      <c r="C106" s="989"/>
      <c r="D106" s="138"/>
      <c r="E106" s="138" t="s">
        <v>365</v>
      </c>
      <c r="F106" s="139"/>
      <c r="G106" s="321"/>
      <c r="H106" s="100"/>
    </row>
    <row r="107" spans="2:8" ht="15.75" x14ac:dyDescent="0.25">
      <c r="B107" s="961"/>
      <c r="C107" s="989"/>
      <c r="D107" s="138" t="s">
        <v>380</v>
      </c>
      <c r="E107" s="138"/>
      <c r="F107" s="139"/>
      <c r="G107" s="321"/>
      <c r="H107" s="100"/>
    </row>
    <row r="108" spans="2:8" ht="15.75" x14ac:dyDescent="0.25">
      <c r="B108" s="961"/>
      <c r="C108" s="989"/>
      <c r="D108" s="138"/>
      <c r="E108" s="138" t="s">
        <v>387</v>
      </c>
      <c r="F108" s="139"/>
      <c r="G108" s="321"/>
      <c r="H108" s="100"/>
    </row>
    <row r="109" spans="2:8" ht="15.75" x14ac:dyDescent="0.25">
      <c r="B109" s="961"/>
      <c r="C109" s="989"/>
      <c r="D109" s="138"/>
      <c r="E109" s="138" t="s">
        <v>399</v>
      </c>
      <c r="F109" s="139"/>
      <c r="G109" s="321"/>
      <c r="H109" s="100"/>
    </row>
    <row r="110" spans="2:8" ht="15.75" x14ac:dyDescent="0.25">
      <c r="B110" s="961"/>
      <c r="C110" s="989"/>
      <c r="D110" s="138" t="s">
        <v>385</v>
      </c>
      <c r="E110" s="145"/>
      <c r="F110" s="139"/>
      <c r="G110" s="321"/>
      <c r="H110" s="100"/>
    </row>
    <row r="111" spans="2:8" ht="15.75" x14ac:dyDescent="0.25">
      <c r="B111" s="961"/>
      <c r="C111" s="989"/>
      <c r="D111" s="138"/>
      <c r="E111" s="138" t="s">
        <v>384</v>
      </c>
      <c r="F111" s="139"/>
      <c r="G111" s="321"/>
      <c r="H111" s="100"/>
    </row>
    <row r="112" spans="2:8" ht="15.75" x14ac:dyDescent="0.25">
      <c r="B112" s="961"/>
      <c r="C112" s="989"/>
      <c r="D112" s="138"/>
      <c r="E112" s="138" t="s">
        <v>386</v>
      </c>
      <c r="F112" s="139"/>
      <c r="G112" s="321"/>
      <c r="H112" s="100"/>
    </row>
    <row r="113" spans="2:8" ht="15.75" x14ac:dyDescent="0.25">
      <c r="B113" s="964"/>
      <c r="C113" s="839"/>
      <c r="D113" s="140"/>
      <c r="E113" s="140" t="s">
        <v>388</v>
      </c>
      <c r="F113" s="146"/>
      <c r="G113" s="322"/>
      <c r="H113" s="330"/>
    </row>
    <row r="117" spans="2:8" x14ac:dyDescent="0.25">
      <c r="C117" t="s">
        <v>312</v>
      </c>
      <c r="D117" t="s">
        <v>464</v>
      </c>
      <c r="E117" s="254" t="s">
        <v>477</v>
      </c>
      <c r="F117" s="342" t="s">
        <v>315</v>
      </c>
      <c r="G117" s="252" t="s">
        <v>640</v>
      </c>
      <c r="H117" s="252" t="s">
        <v>641</v>
      </c>
    </row>
    <row r="118" spans="2:8" x14ac:dyDescent="0.25">
      <c r="C118" s="252" t="str">
        <f>+C6</f>
        <v>Oxidant Stream</v>
      </c>
      <c r="D118" s="252" t="s">
        <v>487</v>
      </c>
      <c r="E118" s="167" t="s">
        <v>478</v>
      </c>
      <c r="F118" s="328">
        <v>1995</v>
      </c>
      <c r="G118" s="252">
        <v>1</v>
      </c>
      <c r="H118" s="252">
        <v>1</v>
      </c>
    </row>
    <row r="119" spans="2:8" x14ac:dyDescent="0.25">
      <c r="C119" s="252" t="str">
        <f>+C13</f>
        <v>Primary Conversion</v>
      </c>
      <c r="D119" s="255" t="s">
        <v>456</v>
      </c>
      <c r="E119" s="167" t="s">
        <v>479</v>
      </c>
      <c r="F119" s="116">
        <v>1996</v>
      </c>
      <c r="G119" s="252">
        <v>2</v>
      </c>
      <c r="H119" s="252">
        <v>2</v>
      </c>
    </row>
    <row r="120" spans="2:8" x14ac:dyDescent="0.25">
      <c r="C120" s="252" t="str">
        <f>+C28</f>
        <v>Power Generation</v>
      </c>
      <c r="D120" s="252"/>
      <c r="E120" s="167" t="s">
        <v>480</v>
      </c>
      <c r="F120" s="116">
        <v>1997</v>
      </c>
      <c r="G120" s="252">
        <v>3</v>
      </c>
      <c r="H120" s="252">
        <v>3</v>
      </c>
    </row>
    <row r="121" spans="2:8" x14ac:dyDescent="0.25">
      <c r="C121" s="252" t="str">
        <f>+C64</f>
        <v>Secondary Conversion</v>
      </c>
      <c r="D121" s="252"/>
      <c r="E121" s="167" t="s">
        <v>481</v>
      </c>
      <c r="F121" s="116">
        <v>1998</v>
      </c>
      <c r="G121" s="252">
        <v>4</v>
      </c>
      <c r="H121" s="252">
        <v>4</v>
      </c>
    </row>
    <row r="122" spans="2:8" x14ac:dyDescent="0.25">
      <c r="C122" s="252" t="str">
        <f>+C84</f>
        <v>Contaminant Removal</v>
      </c>
      <c r="D122" s="252"/>
      <c r="E122" s="167" t="s">
        <v>482</v>
      </c>
      <c r="F122" s="116">
        <v>1999</v>
      </c>
      <c r="G122" s="252"/>
      <c r="H122" s="252">
        <v>5</v>
      </c>
    </row>
    <row r="123" spans="2:8" x14ac:dyDescent="0.25">
      <c r="C123" s="252" t="str">
        <f>+C100</f>
        <v>Energy Storage</v>
      </c>
      <c r="D123" s="252"/>
      <c r="E123" s="167" t="s">
        <v>488</v>
      </c>
      <c r="F123" s="116">
        <v>2000</v>
      </c>
      <c r="G123" s="252"/>
      <c r="H123" s="252">
        <v>6</v>
      </c>
    </row>
    <row r="124" spans="2:8" x14ac:dyDescent="0.25">
      <c r="C124" s="252" t="s">
        <v>435</v>
      </c>
      <c r="D124" s="252"/>
      <c r="E124" s="167" t="s">
        <v>601</v>
      </c>
      <c r="F124" s="116">
        <v>2001</v>
      </c>
      <c r="G124" s="252"/>
      <c r="H124" s="252">
        <v>7</v>
      </c>
    </row>
    <row r="125" spans="2:8" x14ac:dyDescent="0.25">
      <c r="C125" s="252"/>
      <c r="D125" s="252"/>
      <c r="E125" s="167" t="s">
        <v>483</v>
      </c>
      <c r="F125" s="116">
        <v>2002</v>
      </c>
      <c r="G125" s="252"/>
      <c r="H125" s="252">
        <v>8</v>
      </c>
    </row>
    <row r="126" spans="2:8" x14ac:dyDescent="0.25">
      <c r="C126" s="252"/>
      <c r="D126" s="252"/>
      <c r="E126" s="167" t="s">
        <v>603</v>
      </c>
      <c r="F126" s="116">
        <v>2003</v>
      </c>
      <c r="G126" s="252"/>
      <c r="H126" s="252">
        <v>9</v>
      </c>
    </row>
    <row r="127" spans="2:8" x14ac:dyDescent="0.25">
      <c r="C127" s="252"/>
      <c r="D127" s="252"/>
      <c r="E127" s="167" t="s">
        <v>484</v>
      </c>
      <c r="F127" s="116">
        <v>2004</v>
      </c>
      <c r="G127" s="252"/>
      <c r="H127" s="252">
        <v>10</v>
      </c>
    </row>
    <row r="128" spans="2:8" x14ac:dyDescent="0.25">
      <c r="E128" s="337" t="s">
        <v>602</v>
      </c>
      <c r="F128" s="116">
        <v>2005</v>
      </c>
      <c r="G128" s="252"/>
      <c r="H128" s="252">
        <v>11</v>
      </c>
    </row>
    <row r="129" spans="5:8" x14ac:dyDescent="0.25">
      <c r="E129" s="337" t="s">
        <v>626</v>
      </c>
      <c r="F129" s="116">
        <v>2006</v>
      </c>
      <c r="G129" s="252"/>
      <c r="H129" s="252">
        <v>12</v>
      </c>
    </row>
    <row r="130" spans="5:8" x14ac:dyDescent="0.25">
      <c r="E130" s="337" t="s">
        <v>598</v>
      </c>
      <c r="F130" s="116">
        <v>2007</v>
      </c>
      <c r="G130" s="252"/>
      <c r="H130" s="252">
        <v>13</v>
      </c>
    </row>
    <row r="131" spans="5:8" x14ac:dyDescent="0.25">
      <c r="E131" s="337" t="s">
        <v>599</v>
      </c>
      <c r="F131" s="116">
        <v>2008</v>
      </c>
      <c r="G131" s="252"/>
      <c r="H131" s="252">
        <v>14</v>
      </c>
    </row>
    <row r="132" spans="5:8" x14ac:dyDescent="0.25">
      <c r="E132" s="337" t="s">
        <v>600</v>
      </c>
      <c r="F132" s="116">
        <v>2009</v>
      </c>
      <c r="G132" s="252"/>
      <c r="H132" s="252">
        <v>15</v>
      </c>
    </row>
    <row r="133" spans="5:8" x14ac:dyDescent="0.25">
      <c r="F133" s="116">
        <v>2010</v>
      </c>
      <c r="G133" s="252"/>
      <c r="H133" s="252">
        <v>16</v>
      </c>
    </row>
    <row r="134" spans="5:8" x14ac:dyDescent="0.25">
      <c r="F134" s="116">
        <v>2011</v>
      </c>
      <c r="G134" s="252"/>
      <c r="H134" s="252">
        <v>17</v>
      </c>
    </row>
    <row r="135" spans="5:8" x14ac:dyDescent="0.25">
      <c r="F135" s="116">
        <v>2012</v>
      </c>
      <c r="G135" s="252"/>
      <c r="H135" s="252">
        <v>18</v>
      </c>
    </row>
    <row r="136" spans="5:8" x14ac:dyDescent="0.25">
      <c r="F136" s="116">
        <v>2013</v>
      </c>
      <c r="G136" s="252"/>
      <c r="H136" s="252">
        <v>19</v>
      </c>
    </row>
    <row r="137" spans="5:8" x14ac:dyDescent="0.25">
      <c r="F137" s="116">
        <v>2014</v>
      </c>
      <c r="G137" s="252"/>
      <c r="H137" s="252">
        <v>20</v>
      </c>
    </row>
    <row r="138" spans="5:8" x14ac:dyDescent="0.25">
      <c r="F138" s="116">
        <v>2015</v>
      </c>
      <c r="G138" s="252"/>
      <c r="H138" s="252">
        <v>21</v>
      </c>
    </row>
    <row r="139" spans="5:8" x14ac:dyDescent="0.25">
      <c r="F139" s="116">
        <v>2016</v>
      </c>
      <c r="G139" s="252"/>
      <c r="H139" s="252">
        <v>22</v>
      </c>
    </row>
    <row r="140" spans="5:8" x14ac:dyDescent="0.25">
      <c r="F140" s="116">
        <v>2017</v>
      </c>
      <c r="G140" s="252"/>
      <c r="H140" s="252">
        <v>23</v>
      </c>
    </row>
    <row r="141" spans="5:8" x14ac:dyDescent="0.25">
      <c r="F141" s="116">
        <v>2018</v>
      </c>
      <c r="G141" s="252"/>
      <c r="H141" s="252">
        <v>24</v>
      </c>
    </row>
    <row r="142" spans="5:8" x14ac:dyDescent="0.25">
      <c r="F142" s="116">
        <v>2019</v>
      </c>
      <c r="G142" s="252"/>
      <c r="H142" s="252">
        <v>25</v>
      </c>
    </row>
    <row r="143" spans="5:8" x14ac:dyDescent="0.25">
      <c r="F143" s="116">
        <v>2020</v>
      </c>
      <c r="G143" s="252"/>
      <c r="H143" s="252">
        <v>26</v>
      </c>
    </row>
    <row r="144" spans="5:8" x14ac:dyDescent="0.25">
      <c r="F144" s="116">
        <v>2021</v>
      </c>
      <c r="G144" s="252"/>
      <c r="H144" s="252">
        <v>27</v>
      </c>
    </row>
    <row r="145" spans="6:8" x14ac:dyDescent="0.25">
      <c r="F145" s="116">
        <v>2022</v>
      </c>
      <c r="G145" s="252"/>
      <c r="H145" s="252">
        <v>28</v>
      </c>
    </row>
    <row r="146" spans="6:8" x14ac:dyDescent="0.25">
      <c r="F146" s="116">
        <v>2023</v>
      </c>
      <c r="G146" s="252"/>
      <c r="H146" s="252">
        <v>29</v>
      </c>
    </row>
    <row r="147" spans="6:8" x14ac:dyDescent="0.25">
      <c r="F147" s="116">
        <v>2024</v>
      </c>
      <c r="G147" s="252"/>
      <c r="H147" s="252">
        <v>30</v>
      </c>
    </row>
    <row r="148" spans="6:8" x14ac:dyDescent="0.25">
      <c r="F148" s="116">
        <v>2025</v>
      </c>
      <c r="G148" s="252"/>
      <c r="H148" s="252">
        <v>31</v>
      </c>
    </row>
    <row r="149" spans="6:8" x14ac:dyDescent="0.25">
      <c r="F149" s="116">
        <v>2026</v>
      </c>
      <c r="G149" s="252"/>
      <c r="H149" s="252">
        <v>32</v>
      </c>
    </row>
    <row r="150" spans="6:8" x14ac:dyDescent="0.25">
      <c r="F150" s="116">
        <v>2027</v>
      </c>
      <c r="G150" s="252"/>
      <c r="H150" s="252">
        <v>33</v>
      </c>
    </row>
    <row r="151" spans="6:8" x14ac:dyDescent="0.25">
      <c r="F151" s="116">
        <v>2028</v>
      </c>
      <c r="G151" s="252"/>
      <c r="H151" s="252">
        <v>34</v>
      </c>
    </row>
    <row r="152" spans="6:8" x14ac:dyDescent="0.25">
      <c r="F152" s="116">
        <v>2029</v>
      </c>
      <c r="G152" s="252"/>
      <c r="H152" s="252">
        <v>35</v>
      </c>
    </row>
    <row r="153" spans="6:8" x14ac:dyDescent="0.25">
      <c r="F153" s="116">
        <v>2030</v>
      </c>
      <c r="G153" s="252"/>
      <c r="H153" s="252">
        <v>36</v>
      </c>
    </row>
    <row r="154" spans="6:8" x14ac:dyDescent="0.25">
      <c r="F154" s="116">
        <v>2031</v>
      </c>
      <c r="G154" s="252"/>
      <c r="H154" s="252">
        <v>37</v>
      </c>
    </row>
    <row r="155" spans="6:8" x14ac:dyDescent="0.25">
      <c r="F155" s="116">
        <v>2032</v>
      </c>
      <c r="G155" s="252"/>
      <c r="H155" s="252">
        <v>38</v>
      </c>
    </row>
    <row r="156" spans="6:8" x14ac:dyDescent="0.25">
      <c r="F156" s="116">
        <v>2033</v>
      </c>
      <c r="G156" s="252"/>
      <c r="H156" s="252">
        <v>39</v>
      </c>
    </row>
    <row r="157" spans="6:8" x14ac:dyDescent="0.25">
      <c r="F157" s="116">
        <v>2034</v>
      </c>
      <c r="G157" s="252"/>
      <c r="H157" s="252">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90" t="s">
        <v>656</v>
      </c>
      <c r="C2" s="947"/>
      <c r="D2" s="948"/>
      <c r="E2" s="948"/>
      <c r="F2" s="948"/>
      <c r="G2" s="948"/>
      <c r="H2" s="948"/>
      <c r="I2" s="948"/>
      <c r="J2" s="948"/>
      <c r="K2" s="948"/>
      <c r="L2" s="948"/>
      <c r="M2" s="948"/>
      <c r="N2" s="948"/>
      <c r="O2" s="948"/>
      <c r="P2" s="948"/>
      <c r="Q2" s="948"/>
      <c r="R2" s="948"/>
      <c r="S2" s="948"/>
      <c r="T2" s="948"/>
      <c r="U2" s="949"/>
    </row>
    <row r="3" spans="2:21" ht="18.75" x14ac:dyDescent="0.25">
      <c r="B3" s="850" t="s">
        <v>645</v>
      </c>
      <c r="C3" s="851"/>
      <c r="D3" s="851"/>
      <c r="E3" s="851"/>
      <c r="F3" s="851"/>
      <c r="G3" s="851"/>
      <c r="H3" s="851"/>
      <c r="I3" s="852"/>
      <c r="J3" s="850" t="s">
        <v>646</v>
      </c>
      <c r="K3" s="851"/>
      <c r="L3" s="851"/>
      <c r="M3" s="851"/>
      <c r="N3" s="851"/>
      <c r="O3" s="851"/>
      <c r="P3" s="851"/>
      <c r="Q3" s="851"/>
      <c r="R3" s="852"/>
      <c r="S3" s="850" t="s">
        <v>647</v>
      </c>
      <c r="T3" s="851"/>
      <c r="U3" s="852"/>
    </row>
    <row r="4" spans="2:21" ht="18.75" x14ac:dyDescent="0.25">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999" t="s">
        <v>648</v>
      </c>
      <c r="U4" s="1000"/>
    </row>
    <row r="5" spans="2:21" x14ac:dyDescent="0.25">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25">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25">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25">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25">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25">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25">
      <c r="B11" s="380"/>
      <c r="C11" s="381"/>
      <c r="D11" s="381"/>
      <c r="E11" s="381"/>
      <c r="F11" s="381"/>
      <c r="G11" s="381"/>
      <c r="H11" s="381"/>
      <c r="I11" s="381"/>
      <c r="J11" s="381"/>
      <c r="K11" s="381"/>
      <c r="L11" s="381"/>
      <c r="M11" s="381"/>
      <c r="N11" s="381"/>
      <c r="O11" s="381"/>
      <c r="P11" s="381"/>
      <c r="Q11" s="381"/>
      <c r="R11" s="381"/>
      <c r="S11" s="381"/>
      <c r="T11" s="333"/>
      <c r="U11" s="125"/>
    </row>
    <row r="12" spans="2:21" x14ac:dyDescent="0.25">
      <c r="B12" s="440"/>
      <c r="C12" s="441"/>
      <c r="D12" s="441"/>
      <c r="E12" s="441"/>
      <c r="F12" s="441"/>
      <c r="G12" s="441"/>
      <c r="H12" s="441"/>
      <c r="I12" s="441"/>
      <c r="J12" s="441"/>
      <c r="K12" s="441"/>
      <c r="L12" s="441"/>
      <c r="M12" s="441"/>
      <c r="N12" s="441"/>
      <c r="O12" s="441"/>
      <c r="P12" s="441"/>
      <c r="Q12" s="441"/>
      <c r="R12" s="441"/>
      <c r="S12" s="441"/>
      <c r="T12" s="92"/>
      <c r="U12" s="84"/>
    </row>
    <row r="13" spans="2:21" x14ac:dyDescent="0.25">
      <c r="B13" s="440"/>
      <c r="C13" s="441"/>
      <c r="D13" s="441"/>
      <c r="E13" s="441"/>
      <c r="F13" s="441"/>
      <c r="G13" s="441"/>
      <c r="H13" s="441"/>
      <c r="I13" s="441"/>
      <c r="J13" s="441"/>
      <c r="K13" s="441"/>
      <c r="L13" s="441"/>
      <c r="M13" s="441"/>
      <c r="N13" s="441"/>
      <c r="O13" s="441"/>
      <c r="P13" s="441"/>
      <c r="Q13" s="441"/>
      <c r="R13" s="441"/>
      <c r="S13" s="441"/>
      <c r="T13" s="92"/>
      <c r="U13" s="84"/>
    </row>
    <row r="14" spans="2:21" x14ac:dyDescent="0.25">
      <c r="B14" s="440"/>
      <c r="C14" s="441"/>
      <c r="D14" s="441"/>
      <c r="E14" s="441"/>
      <c r="F14" s="441"/>
      <c r="G14" s="441"/>
      <c r="H14" s="441"/>
      <c r="I14" s="441"/>
      <c r="J14" s="910" t="str">
        <f>TEXT(C2,0)</f>
        <v>0</v>
      </c>
      <c r="K14" s="911"/>
      <c r="L14" s="911"/>
      <c r="M14" s="911"/>
      <c r="N14" s="911"/>
      <c r="O14" s="911"/>
      <c r="P14" s="911"/>
      <c r="Q14" s="911"/>
      <c r="R14" s="911"/>
      <c r="S14" s="911"/>
      <c r="T14" s="912"/>
      <c r="U14" s="84"/>
    </row>
    <row r="15" spans="2:21" x14ac:dyDescent="0.25">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25">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25">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25">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25">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25">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25">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25">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25">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25">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25">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25">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25">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25">
      <c r="B28" s="91"/>
      <c r="C28" s="92"/>
      <c r="D28" s="92"/>
      <c r="E28" s="92"/>
      <c r="F28" s="441"/>
      <c r="G28" s="441"/>
      <c r="H28" s="92"/>
      <c r="I28" s="92"/>
      <c r="J28" s="441"/>
      <c r="K28" s="92"/>
      <c r="L28" s="92"/>
      <c r="M28" s="92"/>
      <c r="N28" s="92"/>
      <c r="O28" s="92"/>
      <c r="P28" s="92"/>
      <c r="Q28" s="92"/>
      <c r="R28" s="92"/>
      <c r="S28" s="92"/>
      <c r="T28" s="92"/>
      <c r="U28" s="84"/>
    </row>
    <row r="29" spans="2:21" x14ac:dyDescent="0.25">
      <c r="B29" s="91"/>
      <c r="C29" s="92"/>
      <c r="D29" s="92"/>
      <c r="E29" s="92"/>
      <c r="F29" s="441"/>
      <c r="G29" s="441"/>
      <c r="H29" s="92"/>
      <c r="I29" s="92"/>
      <c r="J29" s="92"/>
      <c r="K29" s="92"/>
      <c r="L29" s="92"/>
      <c r="M29" s="92"/>
      <c r="N29" s="92"/>
      <c r="O29" s="92"/>
      <c r="P29" s="92"/>
      <c r="Q29" s="92"/>
      <c r="R29" s="92"/>
      <c r="S29" s="92"/>
      <c r="T29" s="92"/>
      <c r="U29" s="84"/>
    </row>
    <row r="30" spans="2:21" x14ac:dyDescent="0.25">
      <c r="B30" s="91"/>
      <c r="C30" s="92"/>
      <c r="D30" s="92"/>
      <c r="E30" s="92"/>
      <c r="F30" s="441"/>
      <c r="G30" s="441"/>
      <c r="H30" s="92"/>
      <c r="I30" s="92"/>
      <c r="J30" s="92"/>
      <c r="K30" s="92"/>
      <c r="L30" s="92"/>
      <c r="M30" s="92"/>
      <c r="N30" s="92"/>
      <c r="O30" s="92"/>
      <c r="P30" s="92"/>
      <c r="Q30" s="92"/>
      <c r="R30" s="92"/>
      <c r="S30" s="92"/>
      <c r="T30" s="92"/>
      <c r="U30" s="84"/>
    </row>
    <row r="31" spans="2:21" x14ac:dyDescent="0.25">
      <c r="B31" s="91"/>
      <c r="C31" s="92"/>
      <c r="D31" s="92"/>
      <c r="E31" s="92"/>
      <c r="F31" s="441"/>
      <c r="G31" s="441"/>
      <c r="H31" s="92"/>
      <c r="I31" s="92"/>
      <c r="J31" s="92"/>
      <c r="K31" s="92"/>
      <c r="L31" s="92"/>
      <c r="M31" s="92"/>
      <c r="N31" s="92"/>
      <c r="O31" s="92"/>
      <c r="P31" s="92"/>
      <c r="Q31" s="92"/>
      <c r="R31" s="92"/>
      <c r="S31" s="92"/>
      <c r="T31" s="92"/>
      <c r="U31" s="84"/>
    </row>
    <row r="32" spans="2:21" x14ac:dyDescent="0.25">
      <c r="B32" s="91"/>
      <c r="C32" s="92"/>
      <c r="D32" s="92"/>
      <c r="E32" s="92"/>
      <c r="F32" s="441"/>
      <c r="G32" s="441"/>
      <c r="H32" s="92"/>
      <c r="I32" s="92"/>
      <c r="J32" s="92"/>
      <c r="K32" s="92"/>
      <c r="L32" s="92"/>
      <c r="M32" s="92"/>
      <c r="N32" s="92"/>
      <c r="O32" s="92"/>
      <c r="P32" s="92"/>
      <c r="Q32" s="92"/>
      <c r="R32" s="92"/>
      <c r="S32" s="92"/>
      <c r="T32" s="92"/>
      <c r="U32" s="84"/>
    </row>
    <row r="33" spans="2:21" x14ac:dyDescent="0.25">
      <c r="B33" s="91"/>
      <c r="C33" s="92"/>
      <c r="D33" s="92"/>
      <c r="E33" s="92"/>
      <c r="F33" s="441"/>
      <c r="G33" s="441"/>
      <c r="H33" s="92"/>
      <c r="I33" s="92"/>
      <c r="J33" s="92"/>
      <c r="K33" s="92"/>
      <c r="L33" s="92"/>
      <c r="M33" s="92"/>
      <c r="N33" s="92"/>
      <c r="O33" s="92"/>
      <c r="P33" s="92"/>
      <c r="Q33" s="92"/>
      <c r="R33" s="92"/>
      <c r="S33" s="92"/>
      <c r="T33" s="92"/>
      <c r="U33" s="84"/>
    </row>
    <row r="34" spans="2:21" x14ac:dyDescent="0.25">
      <c r="B34" s="91"/>
      <c r="C34" s="92"/>
      <c r="D34" s="92"/>
      <c r="E34" s="92"/>
      <c r="F34" s="441"/>
      <c r="G34" s="441"/>
      <c r="H34" s="92"/>
      <c r="I34" s="92"/>
      <c r="J34" s="92"/>
      <c r="K34" s="92"/>
      <c r="L34" s="92"/>
      <c r="M34" s="92"/>
      <c r="N34" s="92"/>
      <c r="O34" s="92"/>
      <c r="P34" s="92"/>
      <c r="Q34" s="92"/>
      <c r="R34" s="92"/>
      <c r="S34" s="92"/>
      <c r="T34" s="92"/>
      <c r="U34" s="84"/>
    </row>
    <row r="35" spans="2:21" x14ac:dyDescent="0.25">
      <c r="B35" s="91"/>
      <c r="C35" s="92"/>
      <c r="D35" s="92"/>
      <c r="E35" s="92"/>
      <c r="F35" s="441"/>
      <c r="G35" s="441"/>
      <c r="H35" s="92"/>
      <c r="I35" s="92"/>
      <c r="J35" s="92"/>
      <c r="K35" s="92"/>
      <c r="L35" s="92"/>
      <c r="M35" s="92"/>
      <c r="N35" s="92"/>
      <c r="O35" s="92"/>
      <c r="P35" s="92"/>
      <c r="Q35" s="92"/>
      <c r="R35" s="92"/>
      <c r="S35" s="92"/>
      <c r="T35" s="92"/>
      <c r="U35" s="84"/>
    </row>
    <row r="36" spans="2:21" x14ac:dyDescent="0.25">
      <c r="B36" s="399"/>
      <c r="C36" s="400"/>
      <c r="D36" s="400"/>
      <c r="E36" s="400"/>
      <c r="F36" s="393"/>
      <c r="G36" s="393"/>
      <c r="H36" s="400"/>
      <c r="I36" s="400"/>
      <c r="J36" s="400"/>
      <c r="K36" s="400"/>
      <c r="L36" s="400"/>
      <c r="M36" s="400"/>
      <c r="N36" s="400"/>
      <c r="O36" s="400"/>
      <c r="P36" s="400"/>
      <c r="Q36" s="400"/>
      <c r="R36" s="400"/>
      <c r="S36" s="400"/>
      <c r="T36" s="400"/>
      <c r="U36" s="402"/>
    </row>
    <row r="37" spans="2:21" x14ac:dyDescent="0.25">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CorpSiteInstitute xmlns="8bbd4995-53b7-43e2-b62f-10947586ac31"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D1742366C787E747A0969F81911EB536" ma:contentTypeVersion="43" ma:contentTypeDescription="Create a new document." ma:contentTypeScope="" ma:versionID="5eca57a40f4156d7c01f70eb114dc514">
  <xsd:schema xmlns:xsd="http://www.w3.org/2001/XMLSchema" xmlns:xs="http://www.w3.org/2001/XMLSchema" xmlns:p="http://schemas.microsoft.com/office/2006/metadata/properties" xmlns:ns2="8bbd4995-53b7-43e2-b62f-10947586ac31" xmlns:ns3="950e5aa4-a46d-4570-b32e-6f70eb9c3fd6" targetNamespace="http://schemas.microsoft.com/office/2006/metadata/properties" ma:root="true" ma:fieldsID="193a94b127163c660d066c99518150df" ns2:_="" ns3:_="">
    <xsd:import namespace="8bbd4995-53b7-43e2-b62f-10947586ac31"/>
    <xsd:import namespace="950e5aa4-a46d-4570-b32e-6f70eb9c3fd6"/>
    <xsd:element name="properties">
      <xsd:complexType>
        <xsd:sequence>
          <xsd:element name="documentManagement">
            <xsd:complexType>
              <xsd:all>
                <xsd:element ref="ns2:ArchiveStatus" minOccurs="0"/>
                <xsd:element ref="ns2:CorpWorkflowApproval" minOccurs="0"/>
                <xsd:element ref="ns2:CorpWorkflowFeedback"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 minOccurs="0"/>
                <xsd:element ref="ns2:CorpSiteInstituteEmail" minOccurs="0"/>
                <xsd:element ref="ns2:CorpDocPageClassificationNbNo" minOccurs="0"/>
                <xsd:element ref="ns2:CorpDocClassificationEnUs" minOccurs="0"/>
                <xsd:element ref="ns2:CorpDocPageClassificationEnUs" minOccurs="0"/>
                <xsd:element ref="ns2:CorpSiteInstituteEnUs" minOccurs="0"/>
                <xsd:element ref="ns2:CorpSiteInstitutePhone" minOccurs="0"/>
                <xsd:element ref="ns2:CorpSiteDocLanguage" minOccurs="0"/>
                <xsd:element ref="ns2:CorpDocInstitute" minOccurs="0"/>
                <xsd:element ref="ns2:CorpDocClassificationNbNo" minOccurs="0"/>
                <xsd:element ref="ns2:CorpDocVersion" minOccurs="0"/>
                <xsd:element ref="ns3:MediaServiceMetadata" minOccurs="0"/>
                <xsd:element ref="ns3:MediaServiceFastMetadata" minOccurs="0"/>
                <xsd:element ref="ns3:MediaServiceAutoTags" minOccurs="0"/>
                <xsd:element ref="ns3:MediaServiceOCR" minOccurs="0"/>
                <xsd:element ref="ns3:MediaServiceDateTaken" minOccurs="0"/>
                <xsd:element ref="ns2:CorpWorkflow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SiteProjectNumber" ma:index="11" nillable="true" ma:displayName="Project number" ma:default="" ma:internalName="CorpSiteProjectNumber">
      <xsd:simpleType>
        <xsd:restriction base="dms:Text">
          <xsd:maxLength value="255"/>
        </xsd:restriction>
      </xsd:simpleType>
    </xsd:element>
    <xsd:element name="CorpSiteProjectName" ma:index="12" nillable="true" ma:displayName="Project name" ma:internalName="CorpSiteProjectName">
      <xsd:simpleType>
        <xsd:restriction base="dms:Text">
          <xsd:maxLength value="255"/>
        </xsd:restriction>
      </xsd:simpleType>
    </xsd:element>
    <xsd:element name="CorpSiteSubTitle" ma:index="13" nillable="true" ma:displayName="Sub Title" ma:internalName="CorpSiteSubTitle">
      <xsd:simpleType>
        <xsd:restriction base="dms:Text">
          <xsd:maxLength value="255"/>
        </xsd:restriction>
      </xsd:simpleType>
    </xsd:element>
    <xsd:element name="CorpSiteAccess" ma:index="14"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5"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6" nillable="true" ma:displayName="Tags" ma:internalName="CorpSiteTags">
      <xsd:simpleType>
        <xsd:restriction base="dms:Text">
          <xsd:maxLength value="255"/>
        </xsd:restriction>
      </xsd:simpleType>
    </xsd:element>
    <xsd:element name="CorpSiteProjectQA" ma:index="17"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8"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19"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0" nillable="true" ma:displayName="Report number" ma:internalName="CorpSiteReportNumber">
      <xsd:simpleType>
        <xsd:restriction base="dms:Text">
          <xsd:maxLength value="255"/>
        </xsd:restriction>
      </xsd:simpleType>
    </xsd:element>
    <xsd:element name="CorpSiteISBN" ma:index="21" nillable="true" ma:displayName="ISBN" ma:internalName="CorpSiteISBN">
      <xsd:simpleType>
        <xsd:restriction base="dms:Text">
          <xsd:maxLength value="255"/>
        </xsd:restriction>
      </xsd:simpleType>
    </xsd:element>
    <xsd:element name="CorpSiteCoAuthors" ma:index="22" nillable="true" ma:displayName="Co Authors" ma:internalName="CorpSiteCoAuthors">
      <xsd:simpleType>
        <xsd:restriction base="dms:Text">
          <xsd:maxLength value="255"/>
        </xsd:restriction>
      </xsd:simpleType>
    </xsd:element>
    <xsd:element name="CorpSiteRecipientCompany" ma:index="23" nillable="true" ma:displayName="Recipient company" ma:internalName="CorpSiteRecipientCompany">
      <xsd:simpleType>
        <xsd:restriction base="dms:Text">
          <xsd:maxLength value="255"/>
        </xsd:restriction>
      </xsd:simpleType>
    </xsd:element>
    <xsd:element name="CorpSiteRecipientPerson" ma:index="24" nillable="true" ma:displayName="Recipient person" ma:internalName="CorpSiteRecipientPerson">
      <xsd:simpleType>
        <xsd:restriction base="dms:Text">
          <xsd:maxLength value="255"/>
        </xsd:restriction>
      </xsd:simpleType>
    </xsd:element>
    <xsd:element name="CorpSiteOurRef" ma:index="25" nillable="true" ma:displayName="Our ref" ma:internalName="CorpSiteOurRef">
      <xsd:simpleType>
        <xsd:restriction base="dms:Text">
          <xsd:maxLength value="255"/>
        </xsd:restriction>
      </xsd:simpleType>
    </xsd:element>
    <xsd:element name="CorpSiteDocumentAuthor" ma:index="26"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7" nillable="true" ma:displayName="Address" ma:internalName="CorpSiteZipAddress">
      <xsd:simpleType>
        <xsd:restriction base="dms:Note">
          <xsd:maxLength value="255"/>
        </xsd:restriction>
      </xsd:simpleType>
    </xsd:element>
    <xsd:element name="CorpSiteZipContact" ma:index="28" nillable="true" ma:displayName="Contact" ma:internalName="CorpSiteZipContact">
      <xsd:simpleType>
        <xsd:restriction base="dms:Note">
          <xsd:maxLength value="255"/>
        </xsd:restriction>
      </xsd:simpleType>
    </xsd:element>
    <xsd:element name="CorpSiteVATNumber" ma:index="29" nillable="true" ma:displayName="{resource:FieldCorpSiteVATNumber}" ma:internalName="CorpSiteVATNumber">
      <xsd:simpleType>
        <xsd:restriction base="dms:Text">
          <xsd:maxLength value="255"/>
        </xsd:restriction>
      </xsd:simpleType>
    </xsd:element>
    <xsd:element name="CorpSiteInstitute" ma:index="30" nillable="true" ma:displayName="Institute" ma:internalName="CorpSiteInstitute">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SiteInstituteEnUs" ma:index="35" nillable="true" ma:displayName="InstituteEng" ma:internalName="CorpSiteInstituteEnUs">
      <xsd:simpleType>
        <xsd:restriction base="dms:Text">
          <xsd:maxLength value="255"/>
        </xsd:restriction>
      </xsd:simpleType>
    </xsd:element>
    <xsd:element name="CorpSiteInstitutePhone" ma:index="36" nillable="true" ma:displayName="Institute phone" ma:internalName="CorpSiteInstitutePhone">
      <xsd:simpleType>
        <xsd:restriction base="dms:Text">
          <xsd:maxLength value="255"/>
        </xsd:restriction>
      </xsd:simpleType>
    </xsd:element>
    <xsd:element name="CorpSiteDocLanguage" ma:index="37" nillable="true" ma:displayName="Language" ma:internalName="CorpSiteDocLanguage">
      <xsd:simpleType>
        <xsd:restriction base="dms:Text">
          <xsd:maxLength value="255"/>
        </xsd:restriction>
      </xsd:simpleType>
    </xsd:element>
    <xsd:element name="CorpDocInstitute" ma:index="38" nillable="true" ma:displayName="Institute" ma:internalName="CorpDocInstitute">
      <xsd:simpleType>
        <xsd:restriction base="dms:Text">
          <xsd:maxLength value="255"/>
        </xsd:restriction>
      </xsd:simpleType>
    </xsd:element>
    <xsd:element name="CorpDocClassificationNbNo" ma:index="39"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DocVersion" ma:index="40" nillable="true" ma:displayName="Version" ma:internalName="CorpDocVersion">
      <xsd:simpleType>
        <xsd:restriction base="dms:Text">
          <xsd:maxLength value="255"/>
        </xsd:restriction>
      </xsd:simpleType>
    </xsd:element>
    <xsd:element name="CorpWorkflowStatus" ma:index="46" nillable="true" ma:displayName="Workflow Status" ma:internalName="CorpWorkflowStatu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0e5aa4-a46d-4570-b32e-6f70eb9c3fd6"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Tags" ma:index="43" nillable="true" ma:displayName="Tags" ma:internalName="MediaServiceAutoTags" ma:readOnly="true">
      <xsd:simpleType>
        <xsd:restriction base="dms:Text"/>
      </xsd:simpleType>
    </xsd:element>
    <xsd:element name="MediaServiceOCR" ma:index="44" nillable="true" ma:displayName="Extracted Text" ma:internalName="MediaServiceOCR" ma:readOnly="true">
      <xsd:simpleType>
        <xsd:restriction base="dms:Note">
          <xsd:maxLength value="255"/>
        </xsd:restriction>
      </xsd:simpleType>
    </xsd:element>
    <xsd:element name="MediaServiceDateTaken" ma:index="45"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bbd4995-53b7-43e2-b62f-10947586ac31"/>
    <ds:schemaRef ds:uri="http://purl.org/dc/term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AF5312DA-6AB2-4B21-BC1F-F80996E86F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950e5aa4-a46d-4570-b32e-6f70eb9c3f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2021-06-07T07:52:35Z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0x01010031B82B69D2361148B4D8F7EC156802130800D1742366C787E747A0969F81911EB536</vt:lpwstr>
  </property>
</Properties>
</file>