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charts/chart1.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4.xml" ContentType="application/vnd.openxmlformats-officedocument.spreadsheetml.comments+xml"/>
  <Override PartName="/xl/charts/chart2.xml" ContentType="application/vnd.openxmlformats-officedocument.drawingml.chart+xml"/>
  <Override PartName="/xl/theme/themeOverride2.xml" ContentType="application/vnd.openxmlformats-officedocument.themeOverride+xml"/>
  <Override PartName="/xl/charts/chartEx1.xml" ContentType="application/vnd.ms-office.chartex+xml"/>
  <Override PartName="/xl/charts/style1.xml" ContentType="application/vnd.ms-office.chartstyle+xml"/>
  <Override PartName="/xl/charts/colors1.xml" ContentType="application/vnd.ms-office.chartcolorstyle+xml"/>
  <Override PartName="/xl/theme/themeOverride3.xml" ContentType="application/vnd.openxmlformats-officedocument.themeOverride+xml"/>
  <Override PartName="/xl/drawings/drawing4.xml" ContentType="application/vnd.openxmlformats-officedocument.drawing+xml"/>
  <Override PartName="/xl/ctrlProps/ctrlProp14.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5.xml" ContentType="application/vnd.openxmlformats-officedocument.spreadsheetml.comments+xml"/>
  <Override PartName="/xl/charts/chart3.xml" ContentType="application/vnd.openxmlformats-officedocument.drawingml.chart+xml"/>
  <Override PartName="/xl/theme/themeOverride4.xml" ContentType="application/vnd.openxmlformats-officedocument.themeOverride+xml"/>
  <Override PartName="/xl/drawings/drawing5.xml" ContentType="application/vnd.openxmlformats-officedocument.drawing+xml"/>
  <Override PartName="/xl/ctrlProps/ctrlProp15.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6.xml" ContentType="application/vnd.openxmlformats-officedocument.spreadsheetml.comments+xml"/>
  <Override PartName="/xl/charts/chart4.xml" ContentType="application/vnd.openxmlformats-officedocument.drawingml.chart+xml"/>
  <Override PartName="/xl/theme/themeOverride5.xml" ContentType="application/vnd.openxmlformats-officedocument.themeOverride+xml"/>
  <Override PartName="/xl/drawings/drawing6.xml" ContentType="application/vnd.openxmlformats-officedocument.drawing+xml"/>
  <Override PartName="/xl/ctrlProps/ctrlProp16.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charts/chart5.xml" ContentType="application/vnd.openxmlformats-officedocument.drawingml.chart+xml"/>
  <Override PartName="/xl/theme/themeOverride6.xml" ContentType="application/vnd.openxmlformats-officedocument.themeOverrid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7.xml" ContentType="application/vnd.openxmlformats-officedocument.themeOverride+xml"/>
  <Override PartName="/xl/drawings/drawing7.xml" ContentType="application/vnd.openxmlformats-officedocument.drawing+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8.xml" ContentType="application/vnd.openxmlformats-officedocument.spreadsheetml.comments+xml"/>
  <Override PartName="/xl/charts/chart7.xml" ContentType="application/vnd.openxmlformats-officedocument.drawingml.chart+xml"/>
  <Override PartName="/xl/theme/themeOverride8.xml" ContentType="application/vnd.openxmlformats-officedocument.themeOverride+xml"/>
  <Override PartName="/xl/charts/chartEx2.xml" ContentType="application/vnd.ms-office.chartex+xml"/>
  <Override PartName="/xl/charts/style3.xml" ContentType="application/vnd.ms-office.chartstyle+xml"/>
  <Override PartName="/xl/charts/colors3.xml" ContentType="application/vnd.ms-office.chartcolorstyle+xml"/>
  <Override PartName="/xl/theme/themeOverride9.xml" ContentType="application/vnd.openxmlformats-officedocument.themeOverride+xml"/>
  <Override PartName="/xl/drawings/drawing8.xml" ContentType="application/vnd.openxmlformats-officedocument.drawing+xml"/>
  <Override PartName="/xl/ctrlProps/ctrlProp18.xml" ContentType="application/vnd.ms-excel.controlproperties+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harts/chart10.xml" ContentType="application/vnd.openxmlformats-officedocument.drawingml.chart+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harts/chart11.xml" ContentType="application/vnd.openxmlformats-officedocument.drawingml.chart+xml"/>
  <Override PartName="/xl/drawings/drawing11.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tables/table27.xml" ContentType="application/vnd.openxmlformats-officedocument.spreadsheetml.table+xml"/>
  <Override PartName="/xl/tables/table28.xml" ContentType="application/vnd.openxmlformats-officedocument.spreadsheetml.table+xml"/>
  <Override PartName="/xl/comments9.xml" ContentType="application/vnd.openxmlformats-officedocument.spreadsheetml.comments+xml"/>
  <Override PartName="/xl/charts/chart12.xml" ContentType="application/vnd.openxmlformats-officedocument.drawingml.chart+xml"/>
  <Override PartName="/xl/charts/style6.xml" ContentType="application/vnd.ms-office.chartstyle+xml"/>
  <Override PartName="/xl/charts/colors6.xml" ContentType="application/vnd.ms-office.chartcolorstyle+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10.xml" ContentType="application/vnd.openxmlformats-officedocument.themeOverride+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11.xml" ContentType="application/vnd.openxmlformats-officedocument.themeOverride+xml"/>
  <Override PartName="/xl/drawings/drawing12.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tables/table29.xml" ContentType="application/vnd.openxmlformats-officedocument.spreadsheetml.table+xml"/>
  <Override PartName="/xl/comments10.xml" ContentType="application/vnd.openxmlformats-officedocument.spreadsheetml.comments+xml"/>
  <Override PartName="/xl/drawings/drawing13.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harts/chart16.xml" ContentType="application/vnd.openxmlformats-officedocument.drawingml.chart+xml"/>
  <Override PartName="/xl/charts/style10.xml" ContentType="application/vnd.ms-office.chartstyle+xml"/>
  <Override PartName="/xl/charts/colors10.xml" ContentType="application/vnd.ms-office.chartcolorstyl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4.xml" ContentType="application/vnd.openxmlformats-officedocument.drawing+xml"/>
  <Override PartName="/xl/ctrlProps/ctrlProp42.xml" ContentType="application/vnd.ms-excel.controlproperties+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comments11.xml" ContentType="application/vnd.openxmlformats-officedocument.spreadsheetml.comments+xml"/>
  <Override PartName="/xl/threadedComments/threadedComment1.xml" ContentType="application/vnd.ms-excel.threadedcomments+xml"/>
  <Override PartName="/xl/comments12.xml" ContentType="application/vnd.openxmlformats-officedocument.spreadsheetml.comments+xml"/>
  <Override PartName="/xl/threadedComments/threadedComment2.xml" ContentType="application/vnd.ms-excel.threadedcomments+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comments13.xml" ContentType="application/vnd.openxmlformats-officedocument.spreadsheetml.comments+xml"/>
  <Override PartName="/xl/threadedComments/threadedComment3.xml" ContentType="application/vnd.ms-excel.threadedcomments+xml"/>
  <Override PartName="/xl/drawings/drawing15.xml" ContentType="application/vnd.openxmlformats-officedocument.drawing+xml"/>
  <Override PartName="/xl/drawings/drawing16.xml" ContentType="application/vnd.openxmlformats-officedocument.drawing+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699E3430-74ED-4013-A2F1-D574DBAC045E}" xr6:coauthVersionLast="47" xr6:coauthVersionMax="47" xr10:uidLastSave="{00000000-0000-0000-0000-000000000000}"/>
  <bookViews>
    <workbookView xWindow="-108" yWindow="-108" windowWidth="23256" windowHeight="13176" tabRatio="825" firstSheet="4" activeTab="11" xr2:uid="{00000000-000D-0000-FFFF-FFFF00000000}"/>
  </bookViews>
  <sheets>
    <sheet name="SEA Tool" sheetId="108" r:id="rId1"/>
    <sheet name="Plant Overview" sheetId="81" r:id="rId2"/>
    <sheet name="Unit-100 - NG Pre-treating" sheetId="101" r:id="rId3"/>
    <sheet name="Unit-200 - GSR" sheetId="80" r:id="rId4"/>
    <sheet name="Unit-300 - Power Cycle " sheetId="102" r:id="rId5"/>
    <sheet name="Unit-400 - WGS" sheetId="103" r:id="rId6"/>
    <sheet name="Unit-500 - H2 Production" sheetId="104" r:id="rId7"/>
    <sheet name="Unit-600 - CO2 CPU" sheetId="105" r:id="rId8"/>
    <sheet name="Unit-700 - CWT" sheetId="107" r:id="rId9"/>
    <sheet name="Plant CAPEX" sheetId="5" r:id="rId10"/>
    <sheet name="Plant OPEX" sheetId="16" r:id="rId11"/>
    <sheet name="Cash Flow Analysis" sheetId="84" r:id="rId12"/>
    <sheet name="Input to SSM" sheetId="110" r:id="rId13"/>
    <sheet name="Estimate Benchmark" sheetId="83" r:id="rId14"/>
    <sheet name="Unit-X00 Equipment" sheetId="18" r:id="rId15"/>
    <sheet name="Bibliography" sheetId="4" r:id="rId16"/>
    <sheet name="Cost Conversion" sheetId="30" state="hidden" r:id="rId17"/>
    <sheet name="Technology Block Data" sheetId="3" state="hidden" r:id="rId18"/>
    <sheet name="Equipment Data" sheetId="28" state="hidden" r:id="rId19"/>
    <sheet name="Unit X00 - Benchmark" sheetId="32" state="hidden" r:id="rId20"/>
  </sheets>
  <definedNames>
    <definedName name="_xlchart.v1.0" hidden="1">'Unit-200 - GSR'!$C$46:$C$51</definedName>
    <definedName name="_xlchart.v1.1" hidden="1">'Unit-200 - GSR'!$S$46:$S$51</definedName>
    <definedName name="Axial" localSheetId="2">Tabla20[Turbine]</definedName>
    <definedName name="Axial" localSheetId="3">Tabla20[Turbine]</definedName>
    <definedName name="Axial" localSheetId="4">Tabla20[Turbine]</definedName>
    <definedName name="Axial" localSheetId="5">Tabla20[Turbine]</definedName>
    <definedName name="Axial" localSheetId="6">Tabla20[Turbine]</definedName>
    <definedName name="Axial" localSheetId="7">Tabla20[Turbine]</definedName>
    <definedName name="Axial" localSheetId="8">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 localSheetId="6">Tabla2[[Blender ]]</definedName>
    <definedName name="Blender" localSheetId="7">Tabla2[[Blender ]]</definedName>
    <definedName name="Blender" localSheetId="8">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Blender_Material" localSheetId="6">Tabla31[Blender_Material]</definedName>
    <definedName name="Blender_Material" localSheetId="7">Tabla31[Blender_Material]</definedName>
    <definedName name="Blender_Material" localSheetId="8">Tabla31[Blender_Material]</definedName>
    <definedName name="Case" localSheetId="11">Task[Task]</definedName>
    <definedName name="Case" localSheetId="13">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ase" localSheetId="6">Task[Task]</definedName>
    <definedName name="Case" localSheetId="7">Task[Task]</definedName>
    <definedName name="Case" localSheetId="8">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 localSheetId="6">Tabla3[[Centrifuge ]]</definedName>
    <definedName name="Centrifuge" localSheetId="7">Tabla3[[Centrifuge ]]</definedName>
    <definedName name="Centrifuge" localSheetId="8">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entrifuge_Material" localSheetId="6">Tabla32[Centrifuge_Material]</definedName>
    <definedName name="Centrifuge_Material" localSheetId="7">Tabla32[Centrifuge_Material]</definedName>
    <definedName name="Centrifuge_Material" localSheetId="8">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 localSheetId="6">Tabla4[Compressor]</definedName>
    <definedName name="Compressor" localSheetId="7">Tabla4[Compressor]</definedName>
    <definedName name="Compressor" localSheetId="8">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mpressor_Material" localSheetId="6">Tabla33[Compressor_Material]</definedName>
    <definedName name="Compressor_Material" localSheetId="7">Tabla33[Compressor_Material]</definedName>
    <definedName name="Compressor_Material" localSheetId="8">Tabla33[Compressor_Material]</definedName>
    <definedName name="Construction" localSheetId="11">Tabla81[Construction]</definedName>
    <definedName name="Construction" localSheetId="13">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struction" localSheetId="6">Tabla81[Construction]</definedName>
    <definedName name="Construction" localSheetId="7">Tabla81[Construction]</definedName>
    <definedName name="Construction" localSheetId="8">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 localSheetId="6">Tabla5[Conveyor]</definedName>
    <definedName name="Conveyor" localSheetId="7">Tabla5[Conveyor]</definedName>
    <definedName name="Conveyor" localSheetId="8">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onveyor_Material" localSheetId="6">Tabla34[Conveyor_Material]</definedName>
    <definedName name="Conveyor_Material" localSheetId="7">Tabla34[Conveyor_Material]</definedName>
    <definedName name="Conveyor_Material" localSheetId="8">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 localSheetId="6">Tabla6[[Crystallizer ]]</definedName>
    <definedName name="Crystallizer" localSheetId="7">Tabla6[[Crystallizer ]]</definedName>
    <definedName name="Crystallizer" localSheetId="8">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rystallizer_Material" localSheetId="6">Tabla35[Crystallizer_Material]</definedName>
    <definedName name="Crystallizer_Material" localSheetId="7">Tabla35[Crystallizer_Material]</definedName>
    <definedName name="Crystallizer_Material" localSheetId="8">Tabla35[Crystallizer_Material]</definedName>
    <definedName name="Currency" localSheetId="11">Tabla56[Currency]</definedName>
    <definedName name="Currency" localSheetId="13">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Currency" localSheetId="6">Tabla56[Currency]</definedName>
    <definedName name="Currency" localSheetId="7">Tabla56[Currency]</definedName>
    <definedName name="Currency" localSheetId="8">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irve_Material" localSheetId="6">Tabla36[Drive_Material]</definedName>
    <definedName name="Dirve_Material" localSheetId="7">Tabla36[Drive_Material]</definedName>
    <definedName name="Dirve_Material" localSheetId="8">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 localSheetId="6">Tabla7[[Drive ]]</definedName>
    <definedName name="Drive" localSheetId="7">Tabla7[[Drive ]]</definedName>
    <definedName name="Drive" localSheetId="8">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ive_Material" localSheetId="6">Tabla36[Drive_Material]</definedName>
    <definedName name="Drive_Material" localSheetId="7">Tabla36[Drive_Material]</definedName>
    <definedName name="Drive_Material" localSheetId="8">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 localSheetId="6">Tabla8[Dryer]</definedName>
    <definedName name="Dryer" localSheetId="7">Tabla8[Dryer]</definedName>
    <definedName name="Dryer" localSheetId="8">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ryer_Material" localSheetId="6">Tabla37[Dryer_Material]</definedName>
    <definedName name="Dryer_Material" localSheetId="7">Tabla37[Dryer_Material]</definedName>
    <definedName name="Dryer_Material" localSheetId="8">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 localSheetId="6">Tabla9[[Dust Collectors ]]</definedName>
    <definedName name="DustCollectors" localSheetId="7">Tabla9[[Dust Collectors ]]</definedName>
    <definedName name="DustCollectors" localSheetId="8">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DustCollectors_Material" localSheetId="6">Tabla38[DustCollectors_Material]</definedName>
    <definedName name="DustCollectors_Material" localSheetId="7">Tabla38[DustCollectors_Material]</definedName>
    <definedName name="DustCollectors_Material" localSheetId="8">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quipment" localSheetId="6">Tabla1[Equipment]</definedName>
    <definedName name="Equipment" localSheetId="7">Tabla1[Equipment]</definedName>
    <definedName name="Equipment" localSheetId="8">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 localSheetId="6">Tabla13[[Evaporator ]]</definedName>
    <definedName name="Evaporator" localSheetId="7">Tabla13[[Evaporator ]]</definedName>
    <definedName name="Evaporator" localSheetId="8">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vaporator_Material" localSheetId="6">Tabla42[Evaporator_Material]</definedName>
    <definedName name="Evaporator_Material" localSheetId="7">Tabla42[Evaporator_Material]</definedName>
    <definedName name="Evaporator_Material" localSheetId="8">Tabla42[Evaporator_Material]</definedName>
    <definedName name="Fan" localSheetId="2">Tabla10[Fan]</definedName>
    <definedName name="Fan" localSheetId="3">Tabla10[Fan]</definedName>
    <definedName name="Fan" localSheetId="4">Tabla10[Fan]</definedName>
    <definedName name="Fan" localSheetId="5">Tabla10[Fan]</definedName>
    <definedName name="Fan" localSheetId="6">Tabla10[Fan]</definedName>
    <definedName name="Fan" localSheetId="7">Tabla10[Fan]</definedName>
    <definedName name="Fan" localSheetId="8">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an_Material" localSheetId="6">Tabla39[Fan_Material]</definedName>
    <definedName name="Fan_Material" localSheetId="7">Tabla39[Fan_Material]</definedName>
    <definedName name="Fan_Material" localSheetId="8">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 localSheetId="6">Tabla11[[Filter ]]</definedName>
    <definedName name="Filter" localSheetId="7">Tabla11[[Filter ]]</definedName>
    <definedName name="Filter" localSheetId="8">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lter_Material" localSheetId="6">Tabla40[Filter_Material]</definedName>
    <definedName name="Filter_Material" localSheetId="7">Tabla40[Filter_Material]</definedName>
    <definedName name="Filter_Material" localSheetId="8">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 localSheetId="6">Tabla12[[Fired Heater ]]</definedName>
    <definedName name="FiredHeater" localSheetId="7">Tabla12[[Fired Heater ]]</definedName>
    <definedName name="FiredHeater" localSheetId="8">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FiredHeater_Material" localSheetId="6">Tabla41[FiredHeater_Material]</definedName>
    <definedName name="FiredHeater_Material" localSheetId="7">Tabla41[FiredHeater_Material]</definedName>
    <definedName name="FiredHeater_Material" localSheetId="8">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 localSheetId="6">Tabla14[Heat Exchanger]</definedName>
    <definedName name="HeatExchanger" localSheetId="7">Tabla14[Heat Exchanger]</definedName>
    <definedName name="HeatExchanger" localSheetId="8">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AirCooler_Material" localSheetId="4">Tabla79[HeatExchanger_AirCooler_Material]</definedName>
    <definedName name="HeatExchanger_AirCooler_Material" localSheetId="5">Tabla79[HeatExchanger_AirCooler_Material]</definedName>
    <definedName name="HeatExchanger_AirCooler_Material" localSheetId="6">Tabla79[HeatExchanger_AirCooler_Material]</definedName>
    <definedName name="HeatExchanger_AirCooler_Material" localSheetId="7">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Bayonet_Material" localSheetId="4">Tabla70[HeatExchanger_Bayonet_Material]</definedName>
    <definedName name="HeatExchanger_Bayonet_Material" localSheetId="5">Tabla70[HeatExchanger_Bayonet_Material]</definedName>
    <definedName name="HeatExchanger_Bayonet_Material" localSheetId="6">Tabla70[HeatExchanger_Bayonet_Material]</definedName>
    <definedName name="HeatExchanger_Bayonet_Material" localSheetId="7">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DoublePipe_Material" localSheetId="4">Tabla66[HeatExchanger_DoublePipe_Material]</definedName>
    <definedName name="HeatExchanger_DoublePipe_Material" localSheetId="5">Tabla66[HeatExchanger_DoublePipe_Material]</definedName>
    <definedName name="HeatExchanger_DoublePipe_Material" localSheetId="6">Tabla66[HeatExchanger_DoublePipe_Material]</definedName>
    <definedName name="HeatExchanger_DoublePipe_Material" localSheetId="7">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ixedtubesheetorUtube_Material" localSheetId="4">Tabla68[HeatExchanger_FixedtubesheetorUtube_Material]</definedName>
    <definedName name="HeatExchanger_FixedtubesheetorUtube_Material" localSheetId="5">Tabla68[HeatExchanger_FixedtubesheetorUtube_Material]</definedName>
    <definedName name="HeatExchanger_FixedtubesheetorUtube_Material" localSheetId="6">Tabla68[HeatExchanger_FixedtubesheetorUtube_Material]</definedName>
    <definedName name="HeatExchanger_FixedtubesheetorUtube_Material" localSheetId="7">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atPlate_Material" localSheetId="4">Tabla78[HeatExchanger_FlatPlate_Material]</definedName>
    <definedName name="HeatExchanger_FlatPlate_Material" localSheetId="5">Tabla78[HeatExchanger_FlatPlate_Material]</definedName>
    <definedName name="HeatExchanger_FlatPlate_Material" localSheetId="6">Tabla78[HeatExchanger_FlatPlate_Material]</definedName>
    <definedName name="HeatExchanger_FlatPlate_Material" localSheetId="7">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FloatingHead_Material" localSheetId="4">Tabla69[HeatExchanger_FloatingHead_Material]</definedName>
    <definedName name="HeatExchanger_FloatingHead_Material" localSheetId="5">Tabla69[HeatExchanger_FloatingHead_Material]</definedName>
    <definedName name="HeatExchanger_FloatingHead_Material" localSheetId="6">Tabla69[HeatExchanger_FloatingHead_Material]</definedName>
    <definedName name="HeatExchanger_FloatingHead_Material" localSheetId="7">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KettleReboiler_Material" localSheetId="4">Tabla73[HeatExchanger_KettleReboiler_Material]</definedName>
    <definedName name="HeatExchanger_KettleReboiler_Material" localSheetId="5">Tabla73[HeatExchanger_KettleReboiler_Material]</definedName>
    <definedName name="HeatExchanger_KettleReboiler_Material" localSheetId="6">Tabla73[HeatExchanger_KettleReboiler_Material]</definedName>
    <definedName name="HeatExchanger_KettleReboiler_Material" localSheetId="7">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aterial" localSheetId="6">Tabla43[HeatExchanger_Material]</definedName>
    <definedName name="HeatExchanger_Material" localSheetId="7">Tabla43[HeatExchanger_Material]</definedName>
    <definedName name="HeatExchanger_Material" localSheetId="8">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MultiplePipe_Material" localSheetId="4">Tabla67[HeatExchanger_MultiplePipe_Material]</definedName>
    <definedName name="HeatExchanger_MultiplePipe_Material" localSheetId="5">Tabla67[HeatExchanger_MultiplePipe_Material]</definedName>
    <definedName name="HeatExchanger_MultiplePipe_Material" localSheetId="6">Tabla67[HeatExchanger_MultiplePipe_Material]</definedName>
    <definedName name="HeatExchanger_MultiplePipe_Material" localSheetId="7">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crapedWall_Material" localSheetId="4">Tabla74[HeatExchanger_ScrapedWall_Material]</definedName>
    <definedName name="HeatExchanger_ScrapedWall_Material" localSheetId="5">Tabla74[HeatExchanger_ScrapedWall_Material]</definedName>
    <definedName name="HeatExchanger_ScrapedWall_Material" localSheetId="6">Tabla74[HeatExchanger_ScrapedWall_Material]</definedName>
    <definedName name="HeatExchanger_ScrapedWall_Material" localSheetId="7">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Plate_Material" localSheetId="4">Tabla77[HeatExchanger_SpiralPlate_Material]</definedName>
    <definedName name="HeatExchanger_SpiralPlate_Material" localSheetId="5">Tabla77[HeatExchanger_SpiralPlate_Material]</definedName>
    <definedName name="HeatExchanger_SpiralPlate_Material" localSheetId="6">Tabla77[HeatExchanger_SpiralPlate_Material]</definedName>
    <definedName name="HeatExchanger_SpiralPlate_Material" localSheetId="7">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SpiralTube_Material" localSheetId="4">Tabla75[HeatExchanger_SpiralTube_Material]</definedName>
    <definedName name="HeatExchanger_SpiralTube_Material" localSheetId="5">Tabla75[HeatExchanger_SpiralTube_Material]</definedName>
    <definedName name="HeatExchanger_SpiralTube_Material" localSheetId="6">Tabla75[HeatExchanger_SpiralTube_Material]</definedName>
    <definedName name="HeatExchanger_SpiralTube_Material" localSheetId="7">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HeatExchanger_TeflonTubeExchanger_Material" localSheetId="4">Tabla76[HeatExchanger_TeflonTubeExchanger_Material]</definedName>
    <definedName name="HeatExchanger_TeflonTubeExchanger_Material" localSheetId="5">Tabla76[HeatExchanger_TeflonTubeExchanger_Material]</definedName>
    <definedName name="HeatExchanger_TeflonTubeExchanger_Material" localSheetId="6">Tabla76[HeatExchanger_TeflonTubeExchanger_Material]</definedName>
    <definedName name="HeatExchanger_TeflonTubeExchanger_Material" localSheetId="7">Tabla76[HeatExchanger_TeflonTubeExchanger_Material]</definedName>
    <definedName name="Indicator" localSheetId="11">Table25[Indicator]</definedName>
    <definedName name="Lifetime" localSheetId="11">Tabla82[Lifetime]</definedName>
    <definedName name="Lifetime" localSheetId="13">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ifetime" localSheetId="6">Tabla82[Lifetime]</definedName>
    <definedName name="Lifetime" localSheetId="7">Tabla82[Lifetime]</definedName>
    <definedName name="Lifetime" localSheetId="8">Tabla82[Lifetime]</definedName>
    <definedName name="Location" localSheetId="11">Tabla55[Location]</definedName>
    <definedName name="Location" localSheetId="13">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Location" localSheetId="6">Tabla55[Location]</definedName>
    <definedName name="Location" localSheetId="7">Tabla55[Location]</definedName>
    <definedName name="Location" localSheetId="8">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 localSheetId="6">Tabla15[[Mixer ]]</definedName>
    <definedName name="Mixer" localSheetId="7">Tabla15[[Mixer ]]</definedName>
    <definedName name="Mixer" localSheetId="8">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Mixer_Material" localSheetId="6">Tabla44[Mixer_Material]</definedName>
    <definedName name="Mixer_Material" localSheetId="7">Tabla44[Mixer_Material]</definedName>
    <definedName name="Mixer_Material" localSheetId="8">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 localSheetId="6">Tabla16[[Pump ]]</definedName>
    <definedName name="Pump" localSheetId="7">Tabla16[[Pump ]]</definedName>
    <definedName name="Pump" localSheetId="8">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Pump_Material" localSheetId="6">Tabla45[Pump_Material]</definedName>
    <definedName name="Pump_Material" localSheetId="7">Tabla45[Pump_Material]</definedName>
    <definedName name="Pump_Material" localSheetId="8">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 localSheetId="6">Tabla17[[Reactor ]]</definedName>
    <definedName name="Reactor" localSheetId="7">Tabla17[[Reactor ]]</definedName>
    <definedName name="Reactor" localSheetId="8">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Reactor_Material" localSheetId="6">Tabla46[Reactor_Material]</definedName>
    <definedName name="Reactor_Material" localSheetId="7">Tabla46[Reactor_Material]</definedName>
    <definedName name="Reactor_Material" localSheetId="8">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 localSheetId="6">Tabla18[[Screen ]]</definedName>
    <definedName name="Screen" localSheetId="7">Tabla18[[Screen ]]</definedName>
    <definedName name="Screen" localSheetId="8">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creen_Material" localSheetId="6">Tabla47[Screen_Material]</definedName>
    <definedName name="Screen_Material" localSheetId="7">Tabla47[Screen_Material]</definedName>
    <definedName name="Screen_Material" localSheetId="8">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 localSheetId="6">Tabla19[Tank]</definedName>
    <definedName name="Tank" localSheetId="7">Tabla19[Tank]</definedName>
    <definedName name="Tank" localSheetId="8">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ank_Material" localSheetId="6">Tabla48[Tank_Material]</definedName>
    <definedName name="Tank_Material" localSheetId="7">Tabla48[Tank_Material]</definedName>
    <definedName name="Tank_Material" localSheetId="8">Tabla48[Tank_Material]</definedName>
    <definedName name="test" localSheetId="2">Tabla20[Turbine]</definedName>
    <definedName name="test" localSheetId="3">Tabla20[Turbine]</definedName>
    <definedName name="test" localSheetId="4">Tabla20[Turbine]</definedName>
    <definedName name="test" localSheetId="5">Tabla20[Turbine]</definedName>
    <definedName name="test" localSheetId="6">Tabla20[Turbine]</definedName>
    <definedName name="test" localSheetId="7">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 localSheetId="6">Tabla24[Tower Packing]</definedName>
    <definedName name="TowerPacking" localSheetId="7">Tabla24[Tower Packing]</definedName>
    <definedName name="TowerPacking" localSheetId="8">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Packing_Material" localSheetId="6">Tabla53[TowerPacking_Material]</definedName>
    <definedName name="TowerPacking_Material" localSheetId="7">Tabla53[TowerPacking_Material]</definedName>
    <definedName name="TowerPacking_Material" localSheetId="8">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 localSheetId="6">Tabla23[Tower Trays]</definedName>
    <definedName name="TowerTrays" localSheetId="7">Tabla23[Tower Trays]</definedName>
    <definedName name="TowerTrays" localSheetId="8">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owerTrays_Material" localSheetId="6">Tabla52[TowerTrays_Material]</definedName>
    <definedName name="TowerTrays_Material" localSheetId="7">Tabla52[TowerTrays_Material]</definedName>
    <definedName name="TowerTrays_Material" localSheetId="8">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 localSheetId="6">Tabla20[Turbine]</definedName>
    <definedName name="Turbine" localSheetId="7">Tabla20[Turbine]</definedName>
    <definedName name="Turbine" localSheetId="8">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Turbine_Material" localSheetId="6">Tabla49[Turbine_Material]</definedName>
    <definedName name="Turbine_Material" localSheetId="7">Tabla49[Turbine_Material]</definedName>
    <definedName name="Turbine_Material" localSheetId="8">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 localSheetId="6">Tabla21[Vaporizer]</definedName>
    <definedName name="Vaporizer" localSheetId="7">Tabla21[Vaporizer]</definedName>
    <definedName name="Vaporizer" localSheetId="8">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aporizer_Material" localSheetId="6">Tabla50[Vaporizer_Material]</definedName>
    <definedName name="Vaporizer_Material" localSheetId="7">Tabla50[Vaporizer_Material]</definedName>
    <definedName name="Vaporizer_Material" localSheetId="8">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 localSheetId="6">Tabla22[Vessel]</definedName>
    <definedName name="Vessel" localSheetId="7">Tabla22[Vessel]</definedName>
    <definedName name="Vessel" localSheetId="8">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Vessel_Material" localSheetId="6">Tabla51[Vessel_Material]</definedName>
    <definedName name="Vessel_Material" localSheetId="7">Tabla51[Vessel_Material]</definedName>
    <definedName name="Vessel_Material" localSheetId="8">Tabla51[Vessel_Material]</definedName>
    <definedName name="Year" localSheetId="11">Tabla80[Year]</definedName>
    <definedName name="Year" localSheetId="13">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 name="Year" localSheetId="6">Tabla80[Year]</definedName>
    <definedName name="Year" localSheetId="7">Tabla80[Year]</definedName>
    <definedName name="Year" localSheetId="8">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42" i="84" l="1"/>
  <c r="P42" i="84"/>
  <c r="S17" i="16"/>
  <c r="L16" i="16"/>
  <c r="P43" i="84"/>
  <c r="R43" i="84" s="1"/>
  <c r="Q43" i="84"/>
  <c r="S43" i="84" s="1"/>
  <c r="B7" i="110" l="1"/>
  <c r="G7" i="110" l="1"/>
  <c r="F7" i="110"/>
  <c r="G6" i="110"/>
  <c r="F6" i="110"/>
  <c r="B6" i="110"/>
  <c r="G5" i="110"/>
  <c r="F5" i="110"/>
  <c r="B5" i="110"/>
  <c r="F4" i="110"/>
  <c r="B2" i="110"/>
  <c r="D6" i="110"/>
  <c r="J35" i="83" l="1"/>
  <c r="J36" i="83"/>
  <c r="J34" i="83"/>
  <c r="J28" i="83"/>
  <c r="J29" i="83"/>
  <c r="J27" i="83"/>
  <c r="P13" i="83"/>
  <c r="P14" i="83" s="1"/>
  <c r="O14" i="83"/>
  <c r="O13" i="83"/>
  <c r="F23" i="105" l="1"/>
  <c r="F24" i="105" s="1"/>
  <c r="P24" i="105"/>
  <c r="P23" i="105"/>
  <c r="H57" i="104"/>
  <c r="Q46" i="104"/>
  <c r="M12" i="83" s="1"/>
  <c r="E9" i="4"/>
  <c r="C9" i="4"/>
  <c r="B9" i="4"/>
  <c r="E13" i="107"/>
  <c r="E14" i="4"/>
  <c r="C14" i="4"/>
  <c r="B14" i="4"/>
  <c r="E12" i="4"/>
  <c r="C12" i="4"/>
  <c r="B12" i="4"/>
  <c r="E6" i="4"/>
  <c r="C6" i="4"/>
  <c r="B6" i="4"/>
  <c r="J24" i="105" l="1"/>
  <c r="M24" i="105"/>
  <c r="Q24" i="105" s="1"/>
  <c r="J23" i="105"/>
  <c r="M23" i="105"/>
  <c r="Q23" i="105" s="1"/>
  <c r="O6" i="107"/>
  <c r="O6" i="105"/>
  <c r="O6" i="104"/>
  <c r="O6" i="103"/>
  <c r="O6" i="102" l="1"/>
  <c r="O6" i="80"/>
  <c r="O6" i="101"/>
  <c r="E4" i="4" l="1"/>
  <c r="E10" i="4"/>
  <c r="E13" i="4"/>
  <c r="C13" i="4"/>
  <c r="B13" i="4"/>
  <c r="E11" i="4"/>
  <c r="C11" i="4"/>
  <c r="B11" i="4"/>
  <c r="C10" i="4"/>
  <c r="B10" i="4"/>
  <c r="E8" i="4"/>
  <c r="C8" i="4"/>
  <c r="B8" i="4"/>
  <c r="E7" i="4"/>
  <c r="C7" i="4"/>
  <c r="B7" i="4"/>
  <c r="E5" i="4"/>
  <c r="B5" i="4"/>
  <c r="B4" i="4"/>
  <c r="AH50" i="101"/>
  <c r="C5" i="4" s="1"/>
  <c r="AH49" i="101"/>
  <c r="C4" i="4" s="1"/>
  <c r="J15" i="84"/>
  <c r="G16" i="16"/>
  <c r="E7" i="107"/>
  <c r="J5" i="5" s="1"/>
  <c r="E6" i="107"/>
  <c r="E7" i="105"/>
  <c r="I5" i="5" s="1"/>
  <c r="E6" i="105"/>
  <c r="I4" i="5" s="1"/>
  <c r="E7" i="104"/>
  <c r="H5" i="5" s="1"/>
  <c r="E6" i="104"/>
  <c r="W3" i="104" s="1"/>
  <c r="E7" i="103"/>
  <c r="G5" i="5" s="1"/>
  <c r="E6" i="103"/>
  <c r="E7" i="102"/>
  <c r="F5" i="5" s="1"/>
  <c r="E6" i="102"/>
  <c r="E7" i="80"/>
  <c r="E5" i="5" s="1"/>
  <c r="E6" i="80"/>
  <c r="R13" i="107"/>
  <c r="S22" i="16"/>
  <c r="G20" i="105"/>
  <c r="N20" i="105" s="1"/>
  <c r="G21" i="105"/>
  <c r="N21" i="105" s="1"/>
  <c r="O22" i="105"/>
  <c r="N22" i="105"/>
  <c r="M22" i="105"/>
  <c r="J22" i="105"/>
  <c r="F19" i="105"/>
  <c r="J19" i="105" s="1"/>
  <c r="G16" i="105"/>
  <c r="G15" i="105"/>
  <c r="W46" i="105"/>
  <c r="W45" i="105"/>
  <c r="W42" i="105"/>
  <c r="W41" i="105"/>
  <c r="W40" i="105"/>
  <c r="W39" i="105"/>
  <c r="Y46" i="105"/>
  <c r="AE46" i="105" s="1"/>
  <c r="X46" i="105"/>
  <c r="AC46" i="105" s="1"/>
  <c r="Y45" i="105"/>
  <c r="AE45" i="105" s="1"/>
  <c r="X45" i="105"/>
  <c r="AC45" i="105" s="1"/>
  <c r="AC42" i="105"/>
  <c r="AA42" i="105"/>
  <c r="AC41" i="105"/>
  <c r="AA41" i="105"/>
  <c r="AB40" i="105"/>
  <c r="AC40" i="105" s="1"/>
  <c r="AA40" i="105"/>
  <c r="AC39" i="105"/>
  <c r="AA39" i="105"/>
  <c r="O21" i="105"/>
  <c r="O20" i="105"/>
  <c r="P19" i="105"/>
  <c r="M19" i="105"/>
  <c r="P18" i="105"/>
  <c r="M18" i="105"/>
  <c r="J18" i="105"/>
  <c r="P17" i="105"/>
  <c r="M17" i="105"/>
  <c r="J17" i="105"/>
  <c r="O16" i="105"/>
  <c r="O15" i="105"/>
  <c r="J103" i="18"/>
  <c r="M103" i="18"/>
  <c r="N103" i="18"/>
  <c r="O103" i="18"/>
  <c r="O14" i="105"/>
  <c r="N14" i="105"/>
  <c r="O13" i="105"/>
  <c r="N13" i="105"/>
  <c r="G18" i="104"/>
  <c r="N18" i="104" s="1"/>
  <c r="G19" i="104"/>
  <c r="N19" i="104" s="1"/>
  <c r="G17" i="104"/>
  <c r="N17" i="104" s="1"/>
  <c r="AC42" i="104"/>
  <c r="AC44" i="104"/>
  <c r="AA44" i="104"/>
  <c r="AC43" i="104"/>
  <c r="AA43" i="104"/>
  <c r="AB45" i="103"/>
  <c r="AH45" i="103"/>
  <c r="AF45" i="103"/>
  <c r="O22" i="103"/>
  <c r="N22" i="103"/>
  <c r="AA42" i="104"/>
  <c r="F16" i="104"/>
  <c r="J16" i="104" s="1"/>
  <c r="F14" i="104"/>
  <c r="M14" i="104" s="1"/>
  <c r="G20" i="104"/>
  <c r="W38" i="104"/>
  <c r="Y38" i="104"/>
  <c r="AE38" i="104" s="1"/>
  <c r="X38" i="104"/>
  <c r="AC38" i="104" s="1"/>
  <c r="O20" i="104"/>
  <c r="O19" i="104"/>
  <c r="O18" i="104"/>
  <c r="O17" i="104"/>
  <c r="P16" i="104"/>
  <c r="P14" i="104"/>
  <c r="P15" i="104"/>
  <c r="M15" i="104"/>
  <c r="J15" i="104"/>
  <c r="P13" i="104"/>
  <c r="M13" i="104"/>
  <c r="J13" i="104"/>
  <c r="R46" i="104"/>
  <c r="F15" i="103"/>
  <c r="Q49" i="103" s="1"/>
  <c r="F13" i="103"/>
  <c r="Q48" i="103" s="1"/>
  <c r="F20" i="103"/>
  <c r="J20" i="103" s="1"/>
  <c r="O48" i="103"/>
  <c r="O49" i="103" s="1"/>
  <c r="O47" i="103"/>
  <c r="O46" i="103"/>
  <c r="G18" i="103"/>
  <c r="N18" i="103" s="1"/>
  <c r="G19" i="103"/>
  <c r="N19" i="103" s="1"/>
  <c r="G17" i="103"/>
  <c r="N17" i="103" s="1"/>
  <c r="G21" i="103"/>
  <c r="AH43" i="103"/>
  <c r="O20" i="103"/>
  <c r="N20" i="103"/>
  <c r="O19" i="103"/>
  <c r="O18" i="103"/>
  <c r="O17" i="103"/>
  <c r="O16" i="103"/>
  <c r="O15" i="103"/>
  <c r="O14" i="103"/>
  <c r="O13" i="103"/>
  <c r="O21" i="103"/>
  <c r="AB44" i="103"/>
  <c r="AB43" i="103"/>
  <c r="AB42" i="103"/>
  <c r="AH44" i="103"/>
  <c r="AF44" i="103"/>
  <c r="AF43" i="103"/>
  <c r="AH42" i="103"/>
  <c r="AF42" i="103"/>
  <c r="Y49" i="103"/>
  <c r="X49" i="103"/>
  <c r="AB38" i="103"/>
  <c r="AD38" i="103"/>
  <c r="AJ38" i="103" s="1"/>
  <c r="AC38" i="103"/>
  <c r="AH38" i="103" s="1"/>
  <c r="F16" i="102"/>
  <c r="J16" i="102" s="1"/>
  <c r="F13" i="102"/>
  <c r="M13" i="102" s="1"/>
  <c r="F14" i="102"/>
  <c r="J14" i="102" s="1"/>
  <c r="P17" i="102"/>
  <c r="W39" i="102"/>
  <c r="AC39" i="102"/>
  <c r="AA39" i="102"/>
  <c r="O16" i="102"/>
  <c r="N16" i="102"/>
  <c r="O15" i="102"/>
  <c r="N15" i="102"/>
  <c r="P13" i="102"/>
  <c r="P14" i="102"/>
  <c r="F17" i="101"/>
  <c r="J17" i="101" s="1"/>
  <c r="O17" i="101"/>
  <c r="N17" i="101"/>
  <c r="G14" i="101"/>
  <c r="G13" i="101"/>
  <c r="N13" i="101" s="1"/>
  <c r="AC39" i="101"/>
  <c r="AA39" i="101"/>
  <c r="W40" i="101"/>
  <c r="W41" i="101"/>
  <c r="W42" i="101"/>
  <c r="W39" i="101"/>
  <c r="O16" i="101"/>
  <c r="AC40" i="101"/>
  <c r="AA40" i="101"/>
  <c r="AA41" i="101"/>
  <c r="AA42" i="101"/>
  <c r="AB41" i="101"/>
  <c r="AC41" i="101" s="1"/>
  <c r="O15" i="101"/>
  <c r="O14" i="101"/>
  <c r="O13" i="101"/>
  <c r="J47" i="101"/>
  <c r="I47" i="101"/>
  <c r="K47" i="107"/>
  <c r="K41" i="107"/>
  <c r="R34" i="107"/>
  <c r="S34" i="107" s="1" a="1"/>
  <c r="S34" i="107" s="1"/>
  <c r="R33" i="107"/>
  <c r="S33" i="107" s="1" a="1"/>
  <c r="S33" i="107" s="1"/>
  <c r="R32" i="107"/>
  <c r="S32" i="107" s="1" a="1"/>
  <c r="S32" i="107" s="1"/>
  <c r="R31" i="107"/>
  <c r="S31" i="107" s="1" a="1"/>
  <c r="S31" i="107" s="1"/>
  <c r="R30" i="107"/>
  <c r="S30" i="107" s="1" a="1"/>
  <c r="S30" i="107" s="1"/>
  <c r="R29" i="107"/>
  <c r="S29" i="107" s="1" a="1"/>
  <c r="S29" i="107" s="1"/>
  <c r="R28" i="107"/>
  <c r="S28" i="107" s="1" a="1"/>
  <c r="S28" i="107" s="1"/>
  <c r="R27" i="107"/>
  <c r="S27" i="107" s="1" a="1"/>
  <c r="S27" i="107" s="1"/>
  <c r="R26" i="107"/>
  <c r="S26" i="107" s="1" a="1"/>
  <c r="S26" i="107" s="1"/>
  <c r="R25" i="107"/>
  <c r="S25" i="107" s="1" a="1"/>
  <c r="S25" i="107" s="1"/>
  <c r="R24" i="107"/>
  <c r="S24" i="107" s="1" a="1"/>
  <c r="S24" i="107" s="1"/>
  <c r="R23" i="107"/>
  <c r="S23" i="107" s="1" a="1"/>
  <c r="S23" i="107" s="1"/>
  <c r="R22" i="107"/>
  <c r="S22" i="107" s="1" a="1"/>
  <c r="S22" i="107" s="1"/>
  <c r="R21" i="107"/>
  <c r="S21" i="107" s="1" a="1"/>
  <c r="S21" i="107" s="1"/>
  <c r="R20" i="107"/>
  <c r="S20" i="107" s="1" a="1"/>
  <c r="S20" i="107" s="1"/>
  <c r="R19" i="107"/>
  <c r="S19" i="107" s="1" a="1"/>
  <c r="S19" i="107" s="1"/>
  <c r="R18" i="107"/>
  <c r="S18" i="107" s="1" a="1"/>
  <c r="S18" i="107" s="1"/>
  <c r="R17" i="107"/>
  <c r="S17" i="107" s="1" a="1"/>
  <c r="S17" i="107" s="1"/>
  <c r="R16" i="107"/>
  <c r="S16" i="107" s="1" a="1"/>
  <c r="S16" i="107" s="1"/>
  <c r="R15" i="107"/>
  <c r="S15" i="107" s="1" a="1"/>
  <c r="S15" i="107" s="1"/>
  <c r="R14" i="107"/>
  <c r="S14" i="107" s="1" a="1"/>
  <c r="S14" i="107" s="1"/>
  <c r="H50" i="105"/>
  <c r="H51" i="105" s="1"/>
  <c r="F50" i="105"/>
  <c r="F51" i="105" s="1"/>
  <c r="S49" i="105" a="1"/>
  <c r="S49" i="105" s="1"/>
  <c r="R49" i="105"/>
  <c r="S48" i="105" a="1"/>
  <c r="S48" i="105" s="1"/>
  <c r="R48" i="105"/>
  <c r="S47" i="105" a="1"/>
  <c r="S47" i="105" s="1"/>
  <c r="R47" i="105"/>
  <c r="S46" i="105" a="1"/>
  <c r="S46" i="105" s="1"/>
  <c r="R46" i="105"/>
  <c r="S43" i="105"/>
  <c r="H43" i="105"/>
  <c r="S42" i="105"/>
  <c r="H42" i="105"/>
  <c r="S41" i="105"/>
  <c r="H41" i="105"/>
  <c r="S40" i="105"/>
  <c r="H40" i="105"/>
  <c r="S39" i="105"/>
  <c r="H39" i="105"/>
  <c r="S38" i="105"/>
  <c r="H38" i="105"/>
  <c r="S37" i="105"/>
  <c r="H37" i="105"/>
  <c r="S36" i="105"/>
  <c r="H36" i="105"/>
  <c r="S35" i="105"/>
  <c r="H35" i="105"/>
  <c r="S34" i="105"/>
  <c r="H34" i="105"/>
  <c r="S33" i="105"/>
  <c r="H33" i="105"/>
  <c r="S32" i="105"/>
  <c r="H32" i="105"/>
  <c r="S31" i="105"/>
  <c r="H31" i="105"/>
  <c r="S30" i="105"/>
  <c r="H30" i="105"/>
  <c r="S29" i="105"/>
  <c r="H29" i="105"/>
  <c r="S28" i="105"/>
  <c r="H28" i="105"/>
  <c r="S27" i="105"/>
  <c r="H27" i="105"/>
  <c r="S26" i="105"/>
  <c r="H26" i="105"/>
  <c r="S25" i="105"/>
  <c r="H25" i="105"/>
  <c r="S24" i="105"/>
  <c r="S23" i="105"/>
  <c r="H50" i="104"/>
  <c r="H51" i="104" s="1"/>
  <c r="F50" i="104"/>
  <c r="F51" i="104" s="1"/>
  <c r="S49" i="104" a="1"/>
  <c r="S49" i="104" s="1"/>
  <c r="R49" i="104"/>
  <c r="S48" i="104" a="1"/>
  <c r="S48" i="104" s="1"/>
  <c r="R48" i="104"/>
  <c r="R47" i="104"/>
  <c r="S43" i="104"/>
  <c r="H43" i="104"/>
  <c r="S42" i="104"/>
  <c r="H42" i="104"/>
  <c r="S41" i="104"/>
  <c r="H41" i="104"/>
  <c r="S40" i="104"/>
  <c r="H40" i="104"/>
  <c r="S39" i="104"/>
  <c r="H39" i="104"/>
  <c r="S38" i="104"/>
  <c r="H38" i="104"/>
  <c r="S37" i="104"/>
  <c r="H37" i="104"/>
  <c r="S36" i="104"/>
  <c r="H36" i="104"/>
  <c r="S35" i="104"/>
  <c r="H35" i="104"/>
  <c r="S34" i="104"/>
  <c r="H34" i="104"/>
  <c r="S33" i="104"/>
  <c r="H33" i="104"/>
  <c r="S32" i="104"/>
  <c r="H32" i="104"/>
  <c r="S31" i="104"/>
  <c r="H31" i="104"/>
  <c r="S30" i="104"/>
  <c r="H30" i="104"/>
  <c r="S29" i="104"/>
  <c r="H29" i="104"/>
  <c r="S28" i="104"/>
  <c r="H28" i="104"/>
  <c r="S27" i="104"/>
  <c r="H27" i="104"/>
  <c r="S26" i="104"/>
  <c r="H26" i="104"/>
  <c r="S25" i="104"/>
  <c r="H25" i="104"/>
  <c r="S24" i="104"/>
  <c r="H24" i="104"/>
  <c r="S23" i="104"/>
  <c r="H23" i="104"/>
  <c r="S22" i="104"/>
  <c r="H22" i="104"/>
  <c r="S21" i="104"/>
  <c r="H21" i="104"/>
  <c r="H50" i="103"/>
  <c r="H51" i="103" s="1"/>
  <c r="F50" i="103"/>
  <c r="F51" i="103" s="1"/>
  <c r="S43" i="103"/>
  <c r="H43" i="103"/>
  <c r="S42" i="103"/>
  <c r="H42" i="103"/>
  <c r="S41" i="103"/>
  <c r="H41" i="103"/>
  <c r="S40" i="103"/>
  <c r="H40" i="103"/>
  <c r="S39" i="103"/>
  <c r="H39" i="103"/>
  <c r="S38" i="103"/>
  <c r="H38" i="103"/>
  <c r="S37" i="103"/>
  <c r="H37" i="103"/>
  <c r="S36" i="103"/>
  <c r="H36" i="103"/>
  <c r="S35" i="103"/>
  <c r="H35" i="103"/>
  <c r="S34" i="103"/>
  <c r="H34" i="103"/>
  <c r="S33" i="103"/>
  <c r="H33" i="103"/>
  <c r="S32" i="103"/>
  <c r="H32" i="103"/>
  <c r="S31" i="103"/>
  <c r="H31" i="103"/>
  <c r="S30" i="103"/>
  <c r="H30" i="103"/>
  <c r="S29" i="103"/>
  <c r="H29" i="103"/>
  <c r="S28" i="103"/>
  <c r="H28" i="103"/>
  <c r="S27" i="103"/>
  <c r="H27" i="103"/>
  <c r="S26" i="103"/>
  <c r="H26" i="103"/>
  <c r="S25" i="103"/>
  <c r="H25" i="103"/>
  <c r="S24" i="103"/>
  <c r="H24" i="103"/>
  <c r="S23" i="103"/>
  <c r="H23" i="103"/>
  <c r="H50" i="102"/>
  <c r="H51" i="102" s="1"/>
  <c r="F50" i="102"/>
  <c r="F51" i="102" s="1"/>
  <c r="S49" i="102" a="1"/>
  <c r="S49" i="102" s="1"/>
  <c r="R49" i="102"/>
  <c r="S48" i="102" a="1"/>
  <c r="S48" i="102" s="1"/>
  <c r="R48" i="102"/>
  <c r="S47" i="102" a="1"/>
  <c r="S47" i="102" s="1"/>
  <c r="R47" i="102"/>
  <c r="S46" i="102" a="1"/>
  <c r="S46" i="102" s="1"/>
  <c r="R46" i="102"/>
  <c r="S43" i="102"/>
  <c r="H43" i="102"/>
  <c r="S42" i="102"/>
  <c r="H42" i="102"/>
  <c r="S41" i="102"/>
  <c r="H41" i="102"/>
  <c r="S40" i="102"/>
  <c r="H40" i="102"/>
  <c r="S39" i="102"/>
  <c r="H39" i="102"/>
  <c r="S38" i="102"/>
  <c r="H38" i="102"/>
  <c r="S37" i="102"/>
  <c r="H37" i="102"/>
  <c r="S36" i="102"/>
  <c r="H36" i="102"/>
  <c r="S35" i="102"/>
  <c r="H35" i="102"/>
  <c r="S34" i="102"/>
  <c r="H34" i="102"/>
  <c r="S33" i="102"/>
  <c r="H33" i="102"/>
  <c r="S32" i="102"/>
  <c r="H32" i="102"/>
  <c r="S31" i="102"/>
  <c r="H31" i="102"/>
  <c r="S30" i="102"/>
  <c r="H30" i="102"/>
  <c r="S29" i="102"/>
  <c r="H29" i="102"/>
  <c r="S28" i="102"/>
  <c r="H28" i="102"/>
  <c r="S27" i="102"/>
  <c r="H27" i="102"/>
  <c r="S26" i="102"/>
  <c r="H26" i="102"/>
  <c r="S25" i="102"/>
  <c r="H25" i="102"/>
  <c r="S24" i="102"/>
  <c r="H24" i="102"/>
  <c r="S23" i="102"/>
  <c r="H23" i="102"/>
  <c r="S22" i="102"/>
  <c r="H22" i="102"/>
  <c r="S21" i="102"/>
  <c r="H21" i="102"/>
  <c r="S20" i="102"/>
  <c r="H20" i="102"/>
  <c r="S19" i="102"/>
  <c r="H19" i="102"/>
  <c r="S18" i="102"/>
  <c r="H18" i="102"/>
  <c r="W3" i="102"/>
  <c r="S54" i="102" l="1"/>
  <c r="S54" i="105"/>
  <c r="M16" i="102"/>
  <c r="R49" i="103"/>
  <c r="Q46" i="103"/>
  <c r="F14" i="103" s="1"/>
  <c r="Q13" i="102"/>
  <c r="S13" i="102" s="1"/>
  <c r="R50" i="102" s="1"/>
  <c r="J13" i="103"/>
  <c r="Q14" i="104"/>
  <c r="S14" i="104" s="1"/>
  <c r="R51" i="104" s="1"/>
  <c r="M13" i="103"/>
  <c r="J14" i="104"/>
  <c r="P103" i="18"/>
  <c r="Q103" i="18" s="1"/>
  <c r="R48" i="103"/>
  <c r="F17" i="102"/>
  <c r="J17" i="102" s="1"/>
  <c r="M20" i="103"/>
  <c r="M14" i="102"/>
  <c r="Q14" i="102" s="1"/>
  <c r="S14" i="102" s="1"/>
  <c r="R51" i="102" s="1"/>
  <c r="Q19" i="105"/>
  <c r="S19" i="105" s="1"/>
  <c r="L13" i="103"/>
  <c r="L14" i="103" s="1"/>
  <c r="N14" i="103" s="1"/>
  <c r="P14" i="103" s="1"/>
  <c r="H57" i="80"/>
  <c r="B57" i="80"/>
  <c r="W3" i="105"/>
  <c r="H57" i="105"/>
  <c r="B57" i="105"/>
  <c r="J15" i="103"/>
  <c r="M15" i="103"/>
  <c r="F4" i="5"/>
  <c r="H57" i="102"/>
  <c r="B57" i="102"/>
  <c r="W3" i="107"/>
  <c r="G39" i="107"/>
  <c r="B39" i="107"/>
  <c r="M17" i="101"/>
  <c r="Q47" i="103"/>
  <c r="R47" i="103" s="1"/>
  <c r="G4" i="5"/>
  <c r="H57" i="103"/>
  <c r="B57" i="103"/>
  <c r="E4" i="5"/>
  <c r="B57" i="104"/>
  <c r="H4" i="5"/>
  <c r="AD39" i="105"/>
  <c r="F13" i="105" s="1"/>
  <c r="M13" i="105" s="1"/>
  <c r="AI45" i="103"/>
  <c r="F22" i="103" s="1"/>
  <c r="J22" i="103" s="1"/>
  <c r="AD18" i="16"/>
  <c r="W3" i="103"/>
  <c r="P15" i="102"/>
  <c r="L15" i="103"/>
  <c r="P13" i="105"/>
  <c r="J4" i="5"/>
  <c r="J13" i="102"/>
  <c r="F16" i="103"/>
  <c r="AD44" i="104"/>
  <c r="F19" i="104" s="1"/>
  <c r="M19" i="104" s="1"/>
  <c r="P17" i="101"/>
  <c r="P22" i="103"/>
  <c r="P21" i="105"/>
  <c r="P22" i="105"/>
  <c r="Q22" i="105" s="1"/>
  <c r="S22" i="105" s="1"/>
  <c r="P20" i="105"/>
  <c r="Q17" i="105"/>
  <c r="S17" i="105" s="1"/>
  <c r="Q18" i="105"/>
  <c r="S18" i="105" s="1"/>
  <c r="P14" i="105"/>
  <c r="AD41" i="105"/>
  <c r="F20" i="105" s="1"/>
  <c r="AD42" i="105"/>
  <c r="F21" i="105" s="1"/>
  <c r="M21" i="105" s="1"/>
  <c r="AD45" i="105"/>
  <c r="F15" i="105" s="1"/>
  <c r="AB45" i="105"/>
  <c r="L15" i="105" s="1"/>
  <c r="N15" i="105" s="1"/>
  <c r="P15" i="105" s="1"/>
  <c r="AD46" i="105"/>
  <c r="F16" i="105" s="1"/>
  <c r="AB46" i="105"/>
  <c r="L16" i="105" s="1"/>
  <c r="N16" i="105" s="1"/>
  <c r="P16" i="105" s="1"/>
  <c r="AD40" i="105"/>
  <c r="F14" i="105" s="1"/>
  <c r="P18" i="104"/>
  <c r="P19" i="104"/>
  <c r="P17" i="104"/>
  <c r="AD42" i="104"/>
  <c r="F17" i="104" s="1"/>
  <c r="G15" i="101"/>
  <c r="AD43" i="104"/>
  <c r="F18" i="104" s="1"/>
  <c r="J18" i="104" s="1"/>
  <c r="M16" i="104"/>
  <c r="Q16" i="104" s="1"/>
  <c r="S16" i="104" s="1"/>
  <c r="Q13" i="104"/>
  <c r="S13" i="104" s="1"/>
  <c r="Q15" i="104"/>
  <c r="S15" i="104" s="1"/>
  <c r="AD38" i="104"/>
  <c r="F20" i="104" s="1"/>
  <c r="AB38" i="104"/>
  <c r="L20" i="104" s="1"/>
  <c r="N20" i="104" s="1"/>
  <c r="P20" i="104" s="1"/>
  <c r="P20" i="103"/>
  <c r="P19" i="103"/>
  <c r="P18" i="103"/>
  <c r="P17" i="103"/>
  <c r="AI42" i="103"/>
  <c r="F17" i="103" s="1"/>
  <c r="M17" i="103" s="1"/>
  <c r="AI43" i="103"/>
  <c r="F18" i="103" s="1"/>
  <c r="AI44" i="103"/>
  <c r="F19" i="103" s="1"/>
  <c r="M19" i="103" s="1"/>
  <c r="AI38" i="103"/>
  <c r="F21" i="103" s="1"/>
  <c r="AG38" i="103"/>
  <c r="L21" i="103" s="1"/>
  <c r="N21" i="103" s="1"/>
  <c r="P21" i="103" s="1"/>
  <c r="AD39" i="102"/>
  <c r="F15" i="102" s="1"/>
  <c r="P16" i="102"/>
  <c r="Q16" i="102" s="1"/>
  <c r="S16" i="102" s="1"/>
  <c r="AD39" i="101"/>
  <c r="F13" i="101" s="1"/>
  <c r="N14" i="101"/>
  <c r="P14" i="101" s="1"/>
  <c r="AB42" i="101"/>
  <c r="G16" i="101" s="1"/>
  <c r="AD40" i="101"/>
  <c r="P13" i="101"/>
  <c r="AD41" i="101"/>
  <c r="O3" i="107"/>
  <c r="W34" i="105"/>
  <c r="O3" i="105"/>
  <c r="W34" i="104"/>
  <c r="O3" i="104"/>
  <c r="W34" i="103"/>
  <c r="O3" i="103"/>
  <c r="W34" i="102"/>
  <c r="O3" i="102"/>
  <c r="R48" i="101"/>
  <c r="H50" i="101"/>
  <c r="H51" i="101" s="1"/>
  <c r="F50" i="101"/>
  <c r="F51" i="101" s="1"/>
  <c r="S43" i="101"/>
  <c r="H43" i="101"/>
  <c r="S42" i="101"/>
  <c r="H42" i="101"/>
  <c r="S41" i="101"/>
  <c r="H41" i="101"/>
  <c r="S40" i="101"/>
  <c r="H40" i="101"/>
  <c r="S39" i="101"/>
  <c r="H39" i="101"/>
  <c r="S38" i="101"/>
  <c r="H38" i="101"/>
  <c r="S37" i="101"/>
  <c r="H37" i="101"/>
  <c r="S36" i="101"/>
  <c r="H36" i="101"/>
  <c r="S35" i="101"/>
  <c r="H35" i="101"/>
  <c r="S34" i="101"/>
  <c r="H34" i="101"/>
  <c r="S33" i="101"/>
  <c r="H33" i="101"/>
  <c r="S32" i="101"/>
  <c r="H32" i="101"/>
  <c r="S31" i="101"/>
  <c r="H31" i="101"/>
  <c r="S30" i="101"/>
  <c r="H30" i="101"/>
  <c r="S29" i="101"/>
  <c r="H29" i="101"/>
  <c r="S28" i="101"/>
  <c r="H28" i="101"/>
  <c r="S27" i="101"/>
  <c r="H27" i="101"/>
  <c r="S26" i="101"/>
  <c r="H26" i="101"/>
  <c r="S25" i="101"/>
  <c r="H25" i="101"/>
  <c r="S24" i="101"/>
  <c r="H24" i="101"/>
  <c r="S23" i="101"/>
  <c r="H23" i="101"/>
  <c r="S22" i="101"/>
  <c r="H22" i="101"/>
  <c r="S21" i="101"/>
  <c r="H21" i="101"/>
  <c r="S20" i="101"/>
  <c r="H20" i="101"/>
  <c r="S19" i="101"/>
  <c r="H19" i="101"/>
  <c r="S18" i="101"/>
  <c r="H18" i="101"/>
  <c r="E7" i="101"/>
  <c r="E6" i="101"/>
  <c r="AJ28" i="81"/>
  <c r="AK28" i="81"/>
  <c r="AL28" i="81"/>
  <c r="AM28" i="81"/>
  <c r="AN28" i="81"/>
  <c r="AO28" i="81"/>
  <c r="AP28" i="81"/>
  <c r="AI28" i="81"/>
  <c r="AJ26" i="81"/>
  <c r="AK26" i="81"/>
  <c r="AL26" i="81"/>
  <c r="AM26" i="81"/>
  <c r="AN26" i="81"/>
  <c r="AO26" i="81"/>
  <c r="AP26" i="81"/>
  <c r="AI26" i="81"/>
  <c r="AJ16" i="81"/>
  <c r="AK16" i="81"/>
  <c r="AL16" i="81"/>
  <c r="AM16" i="81"/>
  <c r="AN16" i="81"/>
  <c r="AO16" i="81"/>
  <c r="AP16" i="81"/>
  <c r="AI16" i="81"/>
  <c r="AJ11" i="81"/>
  <c r="AK11" i="81"/>
  <c r="AL11" i="81"/>
  <c r="AM11" i="81"/>
  <c r="AN11" i="81"/>
  <c r="AO11" i="81"/>
  <c r="AP11" i="81"/>
  <c r="AI11" i="81"/>
  <c r="R46" i="103" l="1"/>
  <c r="Q20" i="103"/>
  <c r="S20" i="103" s="1"/>
  <c r="M17" i="102"/>
  <c r="Q17" i="102" s="1"/>
  <c r="S17" i="102" s="1"/>
  <c r="Q13" i="105"/>
  <c r="S13" i="105" s="1"/>
  <c r="R50" i="105" s="1"/>
  <c r="N13" i="103"/>
  <c r="P13" i="103" s="1"/>
  <c r="Q13" i="103" s="1"/>
  <c r="S13" i="103" s="1"/>
  <c r="R50" i="103" s="1"/>
  <c r="M22" i="103"/>
  <c r="Q22" i="103" s="1"/>
  <c r="S22" i="103" s="1"/>
  <c r="J13" i="105"/>
  <c r="Q17" i="101"/>
  <c r="S17" i="101" s="1"/>
  <c r="H57" i="101"/>
  <c r="B57" i="101"/>
  <c r="J19" i="104"/>
  <c r="Q19" i="104"/>
  <c r="S19" i="104" s="1"/>
  <c r="J20" i="105"/>
  <c r="M20" i="105"/>
  <c r="Q20" i="105" s="1"/>
  <c r="S20" i="105" s="1"/>
  <c r="J21" i="105"/>
  <c r="J14" i="105"/>
  <c r="M14" i="105"/>
  <c r="Q14" i="105" s="1"/>
  <c r="S14" i="105" s="1"/>
  <c r="R51" i="105" s="1"/>
  <c r="J16" i="103"/>
  <c r="M16" i="103"/>
  <c r="L16" i="103"/>
  <c r="N16" i="103" s="1"/>
  <c r="P16" i="103" s="1"/>
  <c r="N15" i="103"/>
  <c r="P15" i="103" s="1"/>
  <c r="Q15" i="103" s="1"/>
  <c r="S15" i="103" s="1"/>
  <c r="M17" i="104"/>
  <c r="Q17" i="104" s="1"/>
  <c r="S17" i="104" s="1"/>
  <c r="J17" i="104"/>
  <c r="M16" i="105"/>
  <c r="Q16" i="105" s="1"/>
  <c r="S16" i="105" s="1"/>
  <c r="J16" i="105"/>
  <c r="Q21" i="105"/>
  <c r="S21" i="105" s="1"/>
  <c r="O3" i="101"/>
  <c r="D4" i="5"/>
  <c r="J15" i="102"/>
  <c r="M15" i="102"/>
  <c r="Q15" i="102" s="1"/>
  <c r="S15" i="102" s="1"/>
  <c r="M18" i="104"/>
  <c r="Q18" i="104" s="1"/>
  <c r="S18" i="104" s="1"/>
  <c r="J15" i="105"/>
  <c r="M15" i="105"/>
  <c r="Q15" i="105" s="1"/>
  <c r="S15" i="105" s="1"/>
  <c r="M14" i="103"/>
  <c r="Q14" i="103" s="1"/>
  <c r="S14" i="103" s="1"/>
  <c r="R51" i="103" s="1"/>
  <c r="J14" i="103"/>
  <c r="M20" i="104"/>
  <c r="Q20" i="104" s="1"/>
  <c r="S20" i="104" s="1"/>
  <c r="J20" i="104"/>
  <c r="R50" i="104"/>
  <c r="F15" i="101"/>
  <c r="M15" i="101" s="1"/>
  <c r="M13" i="101"/>
  <c r="Q13" i="101" s="1"/>
  <c r="S13" i="101" s="1"/>
  <c r="F14" i="101"/>
  <c r="J14" i="101" s="1"/>
  <c r="Q19" i="103"/>
  <c r="S19" i="103" s="1"/>
  <c r="M21" i="103"/>
  <c r="Q21" i="103" s="1"/>
  <c r="S21" i="103" s="1"/>
  <c r="J21" i="103"/>
  <c r="Q17" i="103"/>
  <c r="S17" i="103" s="1"/>
  <c r="M18" i="103"/>
  <c r="Q18" i="103" s="1"/>
  <c r="S18" i="103" s="1"/>
  <c r="J18" i="103"/>
  <c r="J17" i="103"/>
  <c r="J19" i="103"/>
  <c r="J13" i="101"/>
  <c r="AC42" i="101"/>
  <c r="AD42" i="101" s="1"/>
  <c r="N15" i="101"/>
  <c r="P15" i="101" s="1"/>
  <c r="W3" i="101"/>
  <c r="W34" i="101"/>
  <c r="Q16" i="103" l="1"/>
  <c r="S16" i="103" s="1"/>
  <c r="R53" i="103" s="1"/>
  <c r="R53" i="102"/>
  <c r="R53" i="105"/>
  <c r="R53" i="104"/>
  <c r="M14" i="101"/>
  <c r="Q14" i="101" s="1"/>
  <c r="S14" i="101" s="1"/>
  <c r="R51" i="101" s="1"/>
  <c r="J15" i="101"/>
  <c r="F16" i="101"/>
  <c r="Q15" i="101"/>
  <c r="S15" i="101" s="1"/>
  <c r="N16" i="101"/>
  <c r="P16" i="101" s="1"/>
  <c r="R50" i="101"/>
  <c r="R49" i="101"/>
  <c r="M16" i="101" l="1"/>
  <c r="Q16" i="101" s="1"/>
  <c r="S16" i="101" s="1"/>
  <c r="R53" i="101" s="1"/>
  <c r="J16" i="101"/>
  <c r="F58" i="81" l="1"/>
  <c r="Q46" i="101" s="1"/>
  <c r="J6" i="84"/>
  <c r="AD25" i="16"/>
  <c r="AD28" i="16" s="1"/>
  <c r="Q23" i="16" s="1"/>
  <c r="Q20" i="16"/>
  <c r="U20" i="16" s="1"/>
  <c r="Q19" i="16"/>
  <c r="U19" i="16" s="1"/>
  <c r="Q24" i="16"/>
  <c r="Q18" i="16"/>
  <c r="U18" i="16" s="1"/>
  <c r="J16" i="16"/>
  <c r="E18" i="5"/>
  <c r="F18" i="5" s="1"/>
  <c r="G18" i="5" s="1"/>
  <c r="H18" i="5" s="1"/>
  <c r="I18" i="5" s="1"/>
  <c r="J18" i="5" s="1"/>
  <c r="R46" i="101" l="1"/>
  <c r="Q47" i="101"/>
  <c r="R47" i="101" s="1"/>
  <c r="E44" i="81"/>
  <c r="C7" i="110" s="1"/>
  <c r="E42" i="81"/>
  <c r="Q16" i="16" l="1"/>
  <c r="D47" i="81"/>
  <c r="E49" i="81"/>
  <c r="Q22" i="16" l="1"/>
  <c r="H50" i="80" l="1"/>
  <c r="H51" i="80" s="1"/>
  <c r="F50" i="80"/>
  <c r="F51" i="80" s="1"/>
  <c r="O49" i="80"/>
  <c r="S21" i="16" s="1"/>
  <c r="AC42" i="80"/>
  <c r="AB43" i="80"/>
  <c r="O48" i="80"/>
  <c r="O47" i="80"/>
  <c r="L14" i="80"/>
  <c r="O46" i="80"/>
  <c r="G14" i="80"/>
  <c r="O14" i="80"/>
  <c r="O13" i="80"/>
  <c r="X40" i="80"/>
  <c r="X42" i="80" s="1"/>
  <c r="X45" i="80" s="1"/>
  <c r="I25" i="81"/>
  <c r="I24" i="81"/>
  <c r="E26" i="81"/>
  <c r="C5" i="110" s="1"/>
  <c r="I72" i="81"/>
  <c r="E23" i="81"/>
  <c r="E29" i="81" s="1"/>
  <c r="C6" i="110" s="1"/>
  <c r="C34" i="81"/>
  <c r="C12" i="81"/>
  <c r="Y63" i="81"/>
  <c r="Y67" i="81" s="1"/>
  <c r="W63" i="81"/>
  <c r="W67" i="81" s="1"/>
  <c r="G16" i="84"/>
  <c r="I11" i="84"/>
  <c r="E50" i="81" l="1"/>
  <c r="AD22" i="16"/>
  <c r="Q17" i="16" s="1"/>
  <c r="E51" i="81"/>
  <c r="E60" i="81"/>
  <c r="E45" i="81"/>
  <c r="E46" i="81"/>
  <c r="E59" i="81"/>
  <c r="I53" i="81"/>
  <c r="H15" i="84" s="1"/>
  <c r="N14" i="80"/>
  <c r="P14" i="80" s="1"/>
  <c r="X47" i="80"/>
  <c r="D40" i="84"/>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11" i="84"/>
  <c r="J7" i="84"/>
  <c r="E7" i="84" s="1"/>
  <c r="E22" i="84" s="1"/>
  <c r="J16" i="84"/>
  <c r="D5" i="84"/>
  <c r="D4" i="84"/>
  <c r="I17" i="16"/>
  <c r="W16" i="16" s="1"/>
  <c r="I16" i="16"/>
  <c r="W15" i="16" s="1"/>
  <c r="C55" i="81"/>
  <c r="W17" i="16"/>
  <c r="W14" i="16"/>
  <c r="F44" i="84" l="1"/>
  <c r="F43" i="84"/>
  <c r="E28" i="81"/>
  <c r="I48" i="81" s="1"/>
  <c r="F60" i="81"/>
  <c r="E27" i="81"/>
  <c r="I47" i="81" s="1"/>
  <c r="F59" i="81"/>
  <c r="Q47" i="80"/>
  <c r="R47" i="80" s="1"/>
  <c r="L13" i="80"/>
  <c r="N13" i="80" s="1"/>
  <c r="P13" i="80" s="1"/>
  <c r="F13" i="80"/>
  <c r="E20" i="84"/>
  <c r="E6" i="84"/>
  <c r="D6" i="84"/>
  <c r="J24" i="83"/>
  <c r="AE3" i="81"/>
  <c r="O3" i="81"/>
  <c r="O34" i="81"/>
  <c r="K4" i="5"/>
  <c r="Q9" i="16"/>
  <c r="H14" i="84"/>
  <c r="P41" i="84" s="1"/>
  <c r="P106" i="18"/>
  <c r="O106" i="18"/>
  <c r="P107" i="18"/>
  <c r="M107" i="18"/>
  <c r="H15" i="80"/>
  <c r="O104" i="18"/>
  <c r="H17" i="80"/>
  <c r="B34" i="84"/>
  <c r="G19" i="84" s="1"/>
  <c r="G20" i="84"/>
  <c r="G18" i="84"/>
  <c r="G17" i="84"/>
  <c r="Q49" i="80" l="1"/>
  <c r="Q48" i="80"/>
  <c r="R48" i="80" s="1"/>
  <c r="U23" i="16"/>
  <c r="U24" i="16"/>
  <c r="U22" i="16"/>
  <c r="Q46" i="80"/>
  <c r="R46" i="80" s="1"/>
  <c r="O3" i="80"/>
  <c r="J13" i="80"/>
  <c r="M13" i="80"/>
  <c r="Q13" i="80" s="1"/>
  <c r="S13" i="80" s="1"/>
  <c r="R50" i="80" s="1"/>
  <c r="W3" i="80"/>
  <c r="W34" i="80"/>
  <c r="S15" i="80"/>
  <c r="S16" i="80"/>
  <c r="S17" i="80"/>
  <c r="R49" i="80" l="1"/>
  <c r="AD20" i="16"/>
  <c r="Q21" i="16" s="1"/>
  <c r="U21" i="16" s="1"/>
  <c r="F14" i="80"/>
  <c r="M14" i="80" s="1"/>
  <c r="Q14" i="80" s="1"/>
  <c r="S14" i="80" s="1"/>
  <c r="R51" i="80" s="1"/>
  <c r="C30" i="5"/>
  <c r="C31" i="5"/>
  <c r="C29" i="5"/>
  <c r="AT39" i="84"/>
  <c r="AS39" i="84"/>
  <c r="AR39" i="84"/>
  <c r="AQ39" i="84"/>
  <c r="AP39" i="84"/>
  <c r="AO39" i="84"/>
  <c r="AN39" i="84"/>
  <c r="AM39" i="84"/>
  <c r="AL39" i="84"/>
  <c r="AK39" i="84"/>
  <c r="AT38" i="84"/>
  <c r="AS38" i="84"/>
  <c r="AR38" i="84"/>
  <c r="AQ38" i="84"/>
  <c r="AP38" i="84"/>
  <c r="AO38" i="84"/>
  <c r="AN38" i="84"/>
  <c r="AM38" i="84"/>
  <c r="AL38" i="84"/>
  <c r="AK38" i="84"/>
  <c r="AT36" i="84"/>
  <c r="AS36" i="84"/>
  <c r="AR36" i="84"/>
  <c r="AQ36" i="84"/>
  <c r="AP36" i="84"/>
  <c r="AO36" i="84"/>
  <c r="AN36" i="84"/>
  <c r="AM36" i="84"/>
  <c r="AL36" i="84"/>
  <c r="AK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F36" i="84" s="1"/>
  <c r="AG36" i="84" s="1"/>
  <c r="AH36" i="84" s="1"/>
  <c r="AI36" i="84" s="1"/>
  <c r="AJ36" i="84" s="1"/>
  <c r="AT30" i="84"/>
  <c r="AS30" i="84"/>
  <c r="AR30" i="84"/>
  <c r="AQ30" i="84"/>
  <c r="AP30" i="84"/>
  <c r="AO30" i="84"/>
  <c r="AN30" i="84"/>
  <c r="AM30" i="84"/>
  <c r="AL30" i="84"/>
  <c r="AK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J33" i="83"/>
  <c r="J32" i="83"/>
  <c r="J31" i="83"/>
  <c r="J26" i="83"/>
  <c r="J25" i="83"/>
  <c r="K23" i="83"/>
  <c r="L23" i="83" s="1"/>
  <c r="M23" i="83" s="1"/>
  <c r="N23" i="83" s="1"/>
  <c r="O23" i="83" s="1"/>
  <c r="P23" i="83" s="1"/>
  <c r="Q23" i="83" s="1"/>
  <c r="R23" i="83" s="1"/>
  <c r="S23" i="83" s="1"/>
  <c r="T23" i="83" s="1"/>
  <c r="J23" i="83"/>
  <c r="J21" i="83"/>
  <c r="R17" i="83" a="1"/>
  <c r="R17" i="83" s="1"/>
  <c r="K36" i="83" s="1"/>
  <c r="R16" i="83" a="1"/>
  <c r="R16" i="83" s="1"/>
  <c r="K35" i="83" s="1"/>
  <c r="R15" i="83" a="1"/>
  <c r="R15" i="83" s="1"/>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1" i="30" a="1"/>
  <c r="D22" i="30" a="1"/>
  <c r="H7" i="30" a="1"/>
  <c r="D4" i="30" a="1"/>
  <c r="H5" i="30" a="1"/>
  <c r="D28" i="30" a="1"/>
  <c r="D33" i="30" a="1"/>
  <c r="D14" i="30" a="1"/>
  <c r="D3" i="30" a="1"/>
  <c r="D34" i="30" a="1"/>
  <c r="D18" i="30" a="1"/>
  <c r="D46" i="30" a="1"/>
  <c r="D12" i="30" a="1"/>
  <c r="H17" i="30" a="1"/>
  <c r="D45" i="30" a="1"/>
  <c r="D13" i="30" a="1"/>
  <c r="D17" i="30" a="1"/>
  <c r="D32" i="30" a="1"/>
  <c r="D27" i="30" a="1"/>
  <c r="D15" i="30" a="1"/>
  <c r="D24" i="30" a="1"/>
  <c r="D40" i="30" a="1"/>
  <c r="D35" i="30" a="1"/>
  <c r="D25" i="30" a="1"/>
  <c r="D44" i="30" a="1"/>
  <c r="D7" i="30" a="1"/>
  <c r="D20" i="30" a="1"/>
  <c r="D5" i="30" a="1"/>
  <c r="H22" i="30" a="1"/>
  <c r="H13" i="30" a="1"/>
  <c r="D37" i="30" a="1"/>
  <c r="H12" i="30" a="1"/>
  <c r="D42" i="30" a="1"/>
  <c r="D29" i="30" a="1"/>
  <c r="D16" i="30" a="1"/>
  <c r="D6" i="30" a="1"/>
  <c r="H21" i="30" a="1"/>
  <c r="D48" i="30" a="1"/>
  <c r="H18" i="30" a="1"/>
  <c r="H14" i="30" a="1"/>
  <c r="D19" i="30" a="1"/>
  <c r="H20" i="30" a="1"/>
  <c r="H3" i="30" a="1"/>
  <c r="D36" i="30" a="1"/>
  <c r="H4" i="30" a="1"/>
  <c r="H8" i="30" a="1"/>
  <c r="H10" i="30" a="1"/>
  <c r="D21" i="30" a="1"/>
  <c r="D8" i="30" a="1"/>
  <c r="D31" i="30" a="1"/>
  <c r="D23" i="30" a="1"/>
  <c r="H15" i="30" a="1"/>
  <c r="D38" i="30" a="1"/>
  <c r="H19" i="30" a="1"/>
  <c r="D26" i="30" a="1"/>
  <c r="D43" i="30" a="1"/>
  <c r="H6" i="30" a="1"/>
  <c r="D41" i="30" a="1"/>
  <c r="H9" i="30" a="1"/>
  <c r="H16" i="30" a="1"/>
  <c r="D9" i="30" a="1"/>
  <c r="D47" i="30" a="1"/>
  <c r="D10" i="30" a="1"/>
  <c r="D11" i="30" a="1"/>
  <c r="D30" i="30" a="1"/>
  <c r="D39" i="30" a="1"/>
  <c r="J14" i="80" l="1"/>
  <c r="C33" i="5"/>
  <c r="D33" i="5"/>
  <c r="R53" i="80"/>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K34" i="83"/>
  <c r="L27" i="83"/>
  <c r="T27" i="83"/>
  <c r="P28" i="83"/>
  <c r="O28" i="83"/>
  <c r="N28" i="83"/>
  <c r="M28" i="83"/>
  <c r="T28" i="83"/>
  <c r="L28" i="83"/>
  <c r="Q28" i="83"/>
  <c r="S28" i="83"/>
  <c r="R28" i="83"/>
  <c r="N29" i="83"/>
  <c r="M27" i="83"/>
  <c r="O29" i="83"/>
  <c r="N27" i="83"/>
  <c r="P29" i="83" a="1"/>
  <c r="P29" i="83" s="1"/>
  <c r="O27" i="83"/>
  <c r="P27" i="83"/>
  <c r="Q29" i="83"/>
  <c r="Q27" i="83"/>
  <c r="K29" i="83"/>
  <c r="R29" i="83"/>
  <c r="R27" i="83"/>
  <c r="L29" i="83"/>
  <c r="S29" i="83"/>
  <c r="K27" i="83"/>
  <c r="S27" i="83"/>
  <c r="M29" i="83"/>
  <c r="S48" i="101" a="1"/>
  <c r="S49" i="101" a="1"/>
  <c r="S47" i="104" a="1"/>
  <c r="S53" i="104" a="1"/>
  <c r="S51" i="101" a="1"/>
  <c r="S49" i="103" a="1"/>
  <c r="S47" i="101" a="1"/>
  <c r="S46" i="103" a="1"/>
  <c r="S53" i="105" a="1"/>
  <c r="S53" i="103" a="1"/>
  <c r="S51" i="80" a="1"/>
  <c r="R14" i="83" a="1"/>
  <c r="S13" i="107" a="1"/>
  <c r="S50" i="80" a="1"/>
  <c r="S53" i="102" a="1"/>
  <c r="S51" i="105" a="1"/>
  <c r="S50" i="102" a="1"/>
  <c r="S53" i="101" a="1"/>
  <c r="S50" i="101" a="1"/>
  <c r="S47" i="80" a="1"/>
  <c r="S46" i="104" a="1"/>
  <c r="S53" i="80" a="1"/>
  <c r="S47" i="103" a="1"/>
  <c r="S46" i="80" a="1"/>
  <c r="S50" i="104" a="1"/>
  <c r="S48" i="103" a="1"/>
  <c r="S51" i="102" a="1"/>
  <c r="S46" i="101" a="1"/>
  <c r="S50" i="103" a="1"/>
  <c r="S50" i="105" a="1"/>
  <c r="S51" i="104" a="1"/>
  <c r="S48" i="80" a="1"/>
  <c r="S49" i="80" a="1"/>
  <c r="R13" i="83" a="1"/>
  <c r="S51" i="103" a="1"/>
  <c r="S53" i="105" l="1"/>
  <c r="S53" i="104"/>
  <c r="S53" i="103"/>
  <c r="S53" i="102"/>
  <c r="S53" i="101"/>
  <c r="S53" i="80"/>
  <c r="R14" i="83"/>
  <c r="S26" i="83" s="1"/>
  <c r="R13" i="83"/>
  <c r="Q25" i="83" s="1"/>
  <c r="S47" i="104"/>
  <c r="S50" i="102"/>
  <c r="S13" i="107"/>
  <c r="S50" i="105"/>
  <c r="S50" i="104"/>
  <c r="S46" i="104"/>
  <c r="S49" i="103"/>
  <c r="S48" i="103"/>
  <c r="S47" i="103"/>
  <c r="S46" i="103"/>
  <c r="S50" i="103"/>
  <c r="F6" i="5"/>
  <c r="S51" i="105"/>
  <c r="S51" i="104"/>
  <c r="S51" i="103"/>
  <c r="S51" i="102"/>
  <c r="S47" i="101"/>
  <c r="T47" i="101" s="1"/>
  <c r="S46" i="101"/>
  <c r="S49" i="101"/>
  <c r="T49" i="101" s="1"/>
  <c r="S48" i="101"/>
  <c r="T48" i="101" s="1"/>
  <c r="S50" i="101"/>
  <c r="T50" i="101" s="1"/>
  <c r="S51" i="101"/>
  <c r="T51" i="101" s="1"/>
  <c r="S51" i="80"/>
  <c r="T51" i="80" s="1"/>
  <c r="S50" i="80"/>
  <c r="T50" i="80" s="1"/>
  <c r="S49" i="80"/>
  <c r="T49" i="80" s="1"/>
  <c r="S48" i="80"/>
  <c r="T48" i="80" s="1"/>
  <c r="S47" i="80"/>
  <c r="T47" i="80" s="1"/>
  <c r="S46" i="80"/>
  <c r="R10" i="32" a="1"/>
  <c r="R10" i="32" s="1"/>
  <c r="R9" i="32" a="1"/>
  <c r="R9" i="32" s="1"/>
  <c r="R8" i="32" a="1"/>
  <c r="R8" i="32" s="1"/>
  <c r="R7" i="32" a="1"/>
  <c r="R7" i="32" s="1"/>
  <c r="R6" i="32" a="1"/>
  <c r="R6" i="32" s="1"/>
  <c r="R5" i="32" a="1"/>
  <c r="R5" i="32" s="1"/>
  <c r="J107" i="18"/>
  <c r="M106" i="18"/>
  <c r="J106" i="18"/>
  <c r="P105" i="18"/>
  <c r="M105" i="18"/>
  <c r="J105" i="18"/>
  <c r="P104" i="18"/>
  <c r="M104" i="18"/>
  <c r="J104"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S36" i="107" l="1"/>
  <c r="J6" i="5" s="1"/>
  <c r="N12" i="83"/>
  <c r="S54" i="104"/>
  <c r="S54" i="103"/>
  <c r="T46" i="101"/>
  <c r="S54" i="101"/>
  <c r="D6" i="5" s="1"/>
  <c r="T46" i="80"/>
  <c r="S54" i="80"/>
  <c r="E6" i="5" s="1"/>
  <c r="N26" i="83"/>
  <c r="M26" i="83"/>
  <c r="Q26" i="83"/>
  <c r="N25" i="83"/>
  <c r="K33" i="83"/>
  <c r="P26" i="83"/>
  <c r="O26" i="83"/>
  <c r="L26" i="83"/>
  <c r="O25" i="83"/>
  <c r="K26" i="83"/>
  <c r="M25" i="83"/>
  <c r="R26" i="83"/>
  <c r="T26" i="83"/>
  <c r="S25" i="83"/>
  <c r="T25" i="83"/>
  <c r="K32" i="83"/>
  <c r="P25" i="83"/>
  <c r="R25" i="83"/>
  <c r="L25" i="83"/>
  <c r="K25" i="83"/>
  <c r="H6" i="5"/>
  <c r="H7" i="5" s="1"/>
  <c r="T23" i="105"/>
  <c r="T31" i="105"/>
  <c r="T39" i="105"/>
  <c r="T28" i="105"/>
  <c r="T38" i="105"/>
  <c r="T24" i="105"/>
  <c r="T32" i="105"/>
  <c r="T40" i="105"/>
  <c r="T36" i="105"/>
  <c r="T25" i="105"/>
  <c r="T33" i="105"/>
  <c r="T41" i="105"/>
  <c r="T26" i="105"/>
  <c r="T34" i="105"/>
  <c r="T42" i="105"/>
  <c r="T30" i="105"/>
  <c r="T27" i="105"/>
  <c r="T35" i="105"/>
  <c r="T43" i="105"/>
  <c r="T44" i="105"/>
  <c r="T29" i="105"/>
  <c r="T37" i="105"/>
  <c r="T16" i="105"/>
  <c r="T19" i="105"/>
  <c r="T17" i="105"/>
  <c r="T18" i="105"/>
  <c r="T15" i="105"/>
  <c r="T20" i="105"/>
  <c r="T21" i="105"/>
  <c r="T14" i="105"/>
  <c r="T22" i="105"/>
  <c r="I6" i="5"/>
  <c r="T13" i="105"/>
  <c r="T46" i="104"/>
  <c r="T13" i="104"/>
  <c r="T16" i="104"/>
  <c r="T24" i="104"/>
  <c r="T32" i="104"/>
  <c r="T40" i="104"/>
  <c r="T17" i="104"/>
  <c r="T25" i="104"/>
  <c r="T33" i="104"/>
  <c r="T41" i="104"/>
  <c r="T39" i="104"/>
  <c r="T18" i="104"/>
  <c r="T26" i="104"/>
  <c r="T34" i="104"/>
  <c r="T42" i="104"/>
  <c r="T29" i="104"/>
  <c r="T22" i="104"/>
  <c r="T31" i="104"/>
  <c r="T19" i="104"/>
  <c r="T27" i="104"/>
  <c r="T35" i="104"/>
  <c r="T43" i="104"/>
  <c r="T37" i="104"/>
  <c r="T14" i="104"/>
  <c r="T23" i="104"/>
  <c r="T20" i="104"/>
  <c r="T28" i="104"/>
  <c r="T36" i="104"/>
  <c r="T44" i="104"/>
  <c r="T21" i="104"/>
  <c r="T30" i="104"/>
  <c r="T38" i="104"/>
  <c r="T15" i="104"/>
  <c r="T13" i="103"/>
  <c r="T16" i="103"/>
  <c r="T24" i="103"/>
  <c r="T32" i="103"/>
  <c r="T40" i="103"/>
  <c r="T17" i="103"/>
  <c r="T25" i="103"/>
  <c r="T33" i="103"/>
  <c r="T41" i="103"/>
  <c r="T30" i="103"/>
  <c r="T15" i="103"/>
  <c r="T18" i="103"/>
  <c r="T26" i="103"/>
  <c r="T34" i="103"/>
  <c r="T42" i="103"/>
  <c r="T19" i="103"/>
  <c r="T27" i="103"/>
  <c r="T35" i="103"/>
  <c r="T43" i="103"/>
  <c r="T31" i="103"/>
  <c r="T20" i="103"/>
  <c r="T28" i="103"/>
  <c r="T36" i="103"/>
  <c r="T44" i="103"/>
  <c r="T21" i="103"/>
  <c r="T29" i="103"/>
  <c r="T37" i="103"/>
  <c r="T14" i="103"/>
  <c r="T22" i="103"/>
  <c r="T38" i="103"/>
  <c r="T23" i="103"/>
  <c r="T39" i="103"/>
  <c r="T17" i="102"/>
  <c r="T25" i="102"/>
  <c r="T33" i="102"/>
  <c r="T41" i="102"/>
  <c r="T19" i="102"/>
  <c r="T35" i="102"/>
  <c r="T14" i="102"/>
  <c r="T38" i="102"/>
  <c r="T31" i="102"/>
  <c r="T32" i="102"/>
  <c r="T18" i="102"/>
  <c r="T26" i="102"/>
  <c r="T34" i="102"/>
  <c r="T42" i="102"/>
  <c r="T27" i="102"/>
  <c r="T43" i="102"/>
  <c r="T30" i="102"/>
  <c r="T23" i="102"/>
  <c r="T16" i="102"/>
  <c r="T20" i="102"/>
  <c r="T28" i="102"/>
  <c r="T36" i="102"/>
  <c r="T44" i="102"/>
  <c r="T21" i="102"/>
  <c r="T29" i="102"/>
  <c r="T37" i="102"/>
  <c r="T22" i="102"/>
  <c r="T15" i="102"/>
  <c r="T39" i="102"/>
  <c r="T24" i="102"/>
  <c r="T40" i="102"/>
  <c r="T13" i="102"/>
  <c r="T13" i="80"/>
  <c r="T16" i="80"/>
  <c r="T24" i="80"/>
  <c r="T32" i="80"/>
  <c r="T40" i="80"/>
  <c r="T17" i="80"/>
  <c r="T25" i="80"/>
  <c r="T33" i="80"/>
  <c r="T41" i="80"/>
  <c r="T18" i="80"/>
  <c r="T26" i="80"/>
  <c r="T34" i="80"/>
  <c r="T42" i="80"/>
  <c r="T19" i="80"/>
  <c r="T27" i="80"/>
  <c r="T35" i="80"/>
  <c r="T43" i="80"/>
  <c r="T20" i="80"/>
  <c r="T28" i="80"/>
  <c r="T36" i="80"/>
  <c r="T44" i="80"/>
  <c r="T21" i="80"/>
  <c r="T29" i="80"/>
  <c r="T37" i="80"/>
  <c r="T14" i="80"/>
  <c r="T22" i="80"/>
  <c r="T30" i="80"/>
  <c r="T38" i="80"/>
  <c r="T15" i="80"/>
  <c r="T23" i="80"/>
  <c r="T31" i="80"/>
  <c r="T39" i="80"/>
  <c r="T13" i="101"/>
  <c r="T17" i="101"/>
  <c r="T15" i="101"/>
  <c r="T14" i="101"/>
  <c r="T16" i="101"/>
  <c r="F8" i="5"/>
  <c r="G6" i="5"/>
  <c r="G7" i="5" s="1"/>
  <c r="P82" i="18"/>
  <c r="P84" i="18"/>
  <c r="P76" i="18"/>
  <c r="P68" i="18"/>
  <c r="P72" i="18"/>
  <c r="P75" i="18"/>
  <c r="P71" i="18"/>
  <c r="P73" i="18"/>
  <c r="P83" i="18"/>
  <c r="P67" i="18"/>
  <c r="P69" i="18"/>
  <c r="P70" i="18"/>
  <c r="R12" i="83" a="1"/>
  <c r="J7" i="5" l="1"/>
  <c r="J8" i="5"/>
  <c r="R12" i="83"/>
  <c r="S24" i="83" s="1"/>
  <c r="P24" i="83"/>
  <c r="Q24" i="83"/>
  <c r="K24" i="83"/>
  <c r="K28" i="83" s="1"/>
  <c r="K31" i="83"/>
  <c r="M24" i="83"/>
  <c r="T24" i="83"/>
  <c r="O24" i="83"/>
  <c r="D7" i="5"/>
  <c r="G8" i="5"/>
  <c r="G9" i="5" s="1"/>
  <c r="G10" i="5" s="1"/>
  <c r="G11" i="5" s="1"/>
  <c r="G12" i="5" s="1"/>
  <c r="G13" i="5" s="1"/>
  <c r="G14" i="5" s="1"/>
  <c r="E8" i="5"/>
  <c r="I7" i="5"/>
  <c r="I8" i="5"/>
  <c r="H8" i="5"/>
  <c r="F7" i="5"/>
  <c r="F9" i="5" s="1"/>
  <c r="F10" i="5" s="1"/>
  <c r="F11" i="5" s="1"/>
  <c r="F12" i="5" s="1"/>
  <c r="F13" i="5" s="1"/>
  <c r="F14" i="5" s="1"/>
  <c r="D8" i="5"/>
  <c r="L24" i="83" l="1"/>
  <c r="R24" i="83"/>
  <c r="N24" i="83"/>
  <c r="J9" i="5"/>
  <c r="J10" i="5" s="1"/>
  <c r="J11" i="5" s="1"/>
  <c r="J12" i="5" s="1"/>
  <c r="J13" i="5" s="1"/>
  <c r="J14" i="5" s="1"/>
  <c r="D9" i="5"/>
  <c r="E7" i="5"/>
  <c r="E9" i="5" s="1"/>
  <c r="E10" i="5" s="1"/>
  <c r="E11" i="5" s="1"/>
  <c r="E12" i="5" s="1"/>
  <c r="E13" i="5" s="1"/>
  <c r="E14" i="5" s="1"/>
  <c r="I9" i="5"/>
  <c r="I10" i="5" s="1"/>
  <c r="I11" i="5" s="1"/>
  <c r="H9" i="5"/>
  <c r="H10" i="5" s="1"/>
  <c r="H11" i="5" s="1"/>
  <c r="H12" i="5" s="1"/>
  <c r="D10" i="5" l="1"/>
  <c r="H13" i="5"/>
  <c r="I12" i="5"/>
  <c r="I13" i="5" s="1"/>
  <c r="I14" i="5" s="1"/>
  <c r="U16" i="16"/>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D11" i="5" l="1"/>
  <c r="H14" i="5"/>
  <c r="G33" i="84"/>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H33" i="84"/>
  <c r="AP33" i="84"/>
  <c r="AB33" i="84"/>
  <c r="AE33" i="84"/>
  <c r="K33" i="84"/>
  <c r="AO33" i="84"/>
  <c r="I33" i="84"/>
  <c r="AR33" i="84"/>
  <c r="AI33" i="84"/>
  <c r="AJ33" i="84"/>
  <c r="AS33" i="84"/>
  <c r="AT33" i="84"/>
  <c r="Q33" i="84"/>
  <c r="Y33" i="84"/>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D12" i="5" l="1"/>
  <c r="S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S22" i="32"/>
  <c r="R22" i="32"/>
  <c r="S18" i="32"/>
  <c r="T21" i="32"/>
  <c r="T18" i="32"/>
  <c r="S19" i="32"/>
  <c r="S17" i="32"/>
  <c r="T22" i="32"/>
  <c r="T20" i="32"/>
  <c r="S21" i="32"/>
  <c r="R18" i="32"/>
  <c r="T19" i="32"/>
  <c r="R17" i="32"/>
  <c r="R19" i="32"/>
  <c r="R20" i="32"/>
  <c r="R21" i="32"/>
  <c r="S20" i="32"/>
  <c r="D13" i="5" l="1"/>
  <c r="O105" i="18"/>
  <c r="O61" i="18"/>
  <c r="Q61" i="18" s="1"/>
  <c r="N102" i="18"/>
  <c r="P102" i="18" s="1"/>
  <c r="C8" i="110" l="1"/>
  <c r="D14" i="5"/>
  <c r="C17" i="16"/>
  <c r="G17" i="16" s="1"/>
  <c r="C18" i="16"/>
  <c r="G18" i="16" s="1"/>
  <c r="J38" i="30"/>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G19" i="16" l="1"/>
  <c r="C9" i="110" s="1"/>
  <c r="Q104" i="18"/>
  <c r="Q105" i="18"/>
  <c r="Q106" i="18"/>
  <c r="Q107" i="18"/>
  <c r="D8" i="84" l="1"/>
  <c r="M30" i="84" s="1"/>
  <c r="C278" i="28"/>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Q30" i="84" l="1"/>
  <c r="Y30" i="84"/>
  <c r="AI30" i="84"/>
  <c r="AF30" i="84"/>
  <c r="I30" i="84"/>
  <c r="P30" i="84"/>
  <c r="H30" i="84"/>
  <c r="AH30" i="84"/>
  <c r="K30" i="84"/>
  <c r="X30" i="84"/>
  <c r="V30" i="84"/>
  <c r="U30" i="84"/>
  <c r="W30" i="84"/>
  <c r="J30" i="84"/>
  <c r="AJ30" i="84"/>
  <c r="AA30" i="84"/>
  <c r="Z30" i="84"/>
  <c r="N30" i="84"/>
  <c r="G30" i="84"/>
  <c r="AG30" i="84"/>
  <c r="S30" i="84"/>
  <c r="AD30" i="84"/>
  <c r="AB30" i="84"/>
  <c r="AC30" i="84"/>
  <c r="AE30" i="84"/>
  <c r="R30" i="84"/>
  <c r="L30" i="84"/>
  <c r="O30" i="84"/>
  <c r="T30" i="84"/>
  <c r="AC3" i="18"/>
  <c r="AP9" i="18"/>
  <c r="AP3" i="18"/>
  <c r="AP4" i="18"/>
  <c r="Q77" i="18"/>
  <c r="Q75" i="18"/>
  <c r="Q67" i="18"/>
  <c r="H18" i="84" l="1"/>
  <c r="Q72" i="18"/>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D35" i="5" l="1"/>
  <c r="D7" i="84" l="1"/>
  <c r="F29" i="84" s="1"/>
  <c r="F35" i="84" s="1"/>
  <c r="F37" i="84" l="1"/>
  <c r="E29" i="84"/>
  <c r="E35" i="84" s="1"/>
  <c r="E37" i="84" s="1"/>
  <c r="C29" i="84"/>
  <c r="D29" i="84"/>
  <c r="D35" i="84" s="1"/>
  <c r="H17" i="84" l="1"/>
  <c r="D37" i="84"/>
  <c r="C35" i="84"/>
  <c r="C37" i="84" l="1"/>
  <c r="C38" i="84" l="1"/>
  <c r="D34" i="5"/>
  <c r="C39" i="84" l="1"/>
  <c r="D39" i="84" s="1"/>
  <c r="E39" i="84" s="1"/>
  <c r="F39" i="84" s="1"/>
  <c r="D38" i="84"/>
  <c r="E38" i="84" s="1"/>
  <c r="F38" i="84" l="1"/>
  <c r="I7" i="84" l="1"/>
  <c r="I10" i="84" a="1"/>
  <c r="I10" i="84" s="1"/>
  <c r="U17" i="16" l="1"/>
  <c r="U25" i="16" s="1"/>
  <c r="D11" i="84" l="1"/>
  <c r="C10" i="110"/>
  <c r="K34" i="84" l="1"/>
  <c r="AF34" i="84"/>
  <c r="Y34" i="84"/>
  <c r="U34" i="84"/>
  <c r="V34" i="84"/>
  <c r="P34" i="84"/>
  <c r="AN34" i="84"/>
  <c r="AS34" i="84"/>
  <c r="AH34" i="84"/>
  <c r="AA34" i="84"/>
  <c r="AM34" i="84"/>
  <c r="AI34" i="84"/>
  <c r="AJ34" i="84"/>
  <c r="N34" i="84"/>
  <c r="S34" i="84"/>
  <c r="L34" i="84"/>
  <c r="AT34" i="84"/>
  <c r="AE34" i="84"/>
  <c r="Q34" i="84"/>
  <c r="R34" i="84"/>
  <c r="H34" i="84"/>
  <c r="AG34" i="84"/>
  <c r="G34" i="84"/>
  <c r="AB34" i="84"/>
  <c r="I34" i="84"/>
  <c r="AK34" i="84"/>
  <c r="M34" i="84"/>
  <c r="AR34" i="84"/>
  <c r="AL34" i="84"/>
  <c r="O34" i="84"/>
  <c r="T34" i="84"/>
  <c r="AP34" i="84"/>
  <c r="X34" i="84"/>
  <c r="J34" i="84"/>
  <c r="AD34" i="84"/>
  <c r="Z34" i="84"/>
  <c r="AO34" i="84"/>
  <c r="AQ34" i="84"/>
  <c r="AC34" i="84"/>
  <c r="W34" i="84"/>
  <c r="N16" i="16"/>
  <c r="D9" i="84" s="1"/>
  <c r="H19" i="84" l="1"/>
  <c r="AR31" i="84"/>
  <c r="AR35" i="84" s="1"/>
  <c r="AR37" i="84" s="1"/>
  <c r="R31" i="84"/>
  <c r="R35" i="84" s="1"/>
  <c r="AN31" i="84"/>
  <c r="AN35" i="84" s="1"/>
  <c r="AN37" i="84" s="1"/>
  <c r="M31" i="84"/>
  <c r="M35" i="84" s="1"/>
  <c r="P31" i="84"/>
  <c r="P35" i="84" s="1"/>
  <c r="N31" i="84"/>
  <c r="N35" i="84" s="1"/>
  <c r="K31" i="84"/>
  <c r="K35" i="84" s="1"/>
  <c r="X31" i="84"/>
  <c r="X35" i="84" s="1"/>
  <c r="AH31" i="84"/>
  <c r="AH35" i="84" s="1"/>
  <c r="AG31" i="84"/>
  <c r="AG35" i="84" s="1"/>
  <c r="G31" i="84"/>
  <c r="AA31" i="84"/>
  <c r="AA35" i="84" s="1"/>
  <c r="AP31" i="84"/>
  <c r="AP35" i="84" s="1"/>
  <c r="AP37" i="84" s="1"/>
  <c r="Z31" i="84"/>
  <c r="Z35" i="84" s="1"/>
  <c r="AM31" i="84"/>
  <c r="AM35" i="84" s="1"/>
  <c r="AM37" i="84" s="1"/>
  <c r="AD31" i="84"/>
  <c r="AD35" i="84" s="1"/>
  <c r="W31" i="84"/>
  <c r="W35" i="84" s="1"/>
  <c r="O31" i="84"/>
  <c r="O35" i="84" s="1"/>
  <c r="AJ31" i="84"/>
  <c r="AJ35" i="84" s="1"/>
  <c r="AQ31" i="84"/>
  <c r="AQ35" i="84" s="1"/>
  <c r="AQ37" i="84" s="1"/>
  <c r="AK31" i="84"/>
  <c r="AK35" i="84" s="1"/>
  <c r="AK37" i="84" s="1"/>
  <c r="AL31" i="84"/>
  <c r="AL35" i="84" s="1"/>
  <c r="AL37" i="84" s="1"/>
  <c r="H31" i="84"/>
  <c r="H35" i="84" s="1"/>
  <c r="AI31" i="84"/>
  <c r="AI35" i="84" s="1"/>
  <c r="AO31" i="84"/>
  <c r="AO35" i="84" s="1"/>
  <c r="AO37" i="84" s="1"/>
  <c r="Y31" i="84"/>
  <c r="Y35" i="84" s="1"/>
  <c r="AC31" i="84"/>
  <c r="AC35" i="84" s="1"/>
  <c r="AF31" i="84"/>
  <c r="AF35" i="84" s="1"/>
  <c r="I31" i="84"/>
  <c r="I35" i="84" s="1"/>
  <c r="Q31" i="84"/>
  <c r="Q35" i="84" s="1"/>
  <c r="S31" i="84"/>
  <c r="S35" i="84" s="1"/>
  <c r="AB31" i="84"/>
  <c r="AB35" i="84" s="1"/>
  <c r="AE31" i="84"/>
  <c r="AE35" i="84" s="1"/>
  <c r="AS31" i="84"/>
  <c r="AS35" i="84" s="1"/>
  <c r="AS37" i="84" s="1"/>
  <c r="AT31" i="84"/>
  <c r="AT35" i="84" s="1"/>
  <c r="AT37" i="84" s="1"/>
  <c r="L31" i="84"/>
  <c r="L35" i="84" s="1"/>
  <c r="U31" i="84"/>
  <c r="U35" i="84" s="1"/>
  <c r="J31" i="84"/>
  <c r="J35" i="84" s="1"/>
  <c r="T31" i="84"/>
  <c r="T35" i="84" s="1"/>
  <c r="V31" i="84"/>
  <c r="V35" i="84" s="1"/>
  <c r="V37" i="84" l="1"/>
  <c r="H37" i="84"/>
  <c r="K37" i="84"/>
  <c r="T37" i="84"/>
  <c r="Z37" i="84"/>
  <c r="N37" i="84"/>
  <c r="AD37" i="84"/>
  <c r="I37" i="84"/>
  <c r="P37" i="84"/>
  <c r="S37" i="84"/>
  <c r="U37" i="84"/>
  <c r="AF37" i="84"/>
  <c r="AA37" i="84"/>
  <c r="M37" i="84"/>
  <c r="AB37" i="84"/>
  <c r="Q37" i="84"/>
  <c r="AC37" i="84"/>
  <c r="AJ37" i="84"/>
  <c r="G35" i="84"/>
  <c r="X37" i="84"/>
  <c r="J37" i="84"/>
  <c r="L37" i="84"/>
  <c r="Y37" i="84"/>
  <c r="O37" i="84"/>
  <c r="AG37" i="84"/>
  <c r="R37" i="84"/>
  <c r="AI37" i="84"/>
  <c r="AE37" i="84"/>
  <c r="W37" i="84"/>
  <c r="AH37" i="84"/>
  <c r="G37" i="84" l="1"/>
  <c r="G38" i="84"/>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AF38" i="84" s="1"/>
  <c r="AG38" i="84" s="1"/>
  <c r="AH38" i="84" s="1"/>
  <c r="AI38" i="84" s="1"/>
  <c r="AJ38" i="84" s="1"/>
  <c r="H20" i="84"/>
  <c r="G39" i="84"/>
  <c r="H39" i="84" s="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AF39" i="84" s="1"/>
  <c r="AG39" i="84" s="1"/>
  <c r="AH39" i="84" s="1"/>
  <c r="AI39" i="84" s="1"/>
  <c r="AJ39" i="84" s="1"/>
  <c r="D22" i="84" s="1"/>
  <c r="H22" i="84"/>
  <c r="H21" i="84"/>
  <c r="H16" i="84" l="1"/>
  <c r="I9" i="84"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FDC52995-C598-4051-A73F-D45234DADB4E}">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exported to unit sheets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277CFF80-09CE-4780-BE63-95E884600BD2}">
      <text>
        <r>
          <rPr>
            <b/>
            <sz val="9"/>
            <color indexed="81"/>
            <rFont val="Tahoma"/>
            <family val="2"/>
          </rPr>
          <t>Carlos Arnaiz del Pozo:</t>
        </r>
        <r>
          <rPr>
            <sz val="9"/>
            <color indexed="81"/>
            <rFont val="Tahoma"/>
            <family val="2"/>
          </rPr>
          <t xml:space="preserve">
Specify "shell and tube" or "tube only"</t>
        </r>
      </text>
    </comment>
    <comment ref="L14" authorId="0" shapeId="0" xr:uid="{E236F1A1-37BF-4159-A6E6-84E0FC79EDFC}">
      <text>
        <r>
          <rPr>
            <b/>
            <sz val="9"/>
            <color indexed="81"/>
            <rFont val="Tahoma"/>
            <family val="2"/>
          </rPr>
          <t>Carlos Arnaiz del Pozo:</t>
        </r>
        <r>
          <rPr>
            <sz val="9"/>
            <color indexed="81"/>
            <rFont val="Tahoma"/>
            <family val="2"/>
          </rPr>
          <t xml:space="preserve">
Specify "shell and tube" or "tube only"</t>
        </r>
      </text>
    </comment>
    <comment ref="L15" authorId="0" shapeId="0" xr:uid="{D1120D1B-AEE7-4DE2-8A1E-1E2C03CF6630}">
      <text>
        <r>
          <rPr>
            <b/>
            <sz val="9"/>
            <color indexed="81"/>
            <rFont val="Tahoma"/>
            <family val="2"/>
          </rPr>
          <t>Carlos Arnaiz del Pozo:</t>
        </r>
        <r>
          <rPr>
            <sz val="9"/>
            <color indexed="81"/>
            <rFont val="Tahoma"/>
            <family val="2"/>
          </rPr>
          <t xml:space="preserve">
Specify "shell and tube" or "tube only"</t>
        </r>
      </text>
    </comment>
    <comment ref="L16" authorId="0" shapeId="0" xr:uid="{BD9613CD-FC4E-483A-A7B5-D70B1834E134}">
      <text>
        <r>
          <rPr>
            <b/>
            <sz val="9"/>
            <color indexed="81"/>
            <rFont val="Tahoma"/>
            <family val="2"/>
          </rPr>
          <t>Carlos Arnaiz del Pozo:</t>
        </r>
        <r>
          <rPr>
            <sz val="9"/>
            <color indexed="81"/>
            <rFont val="Tahoma"/>
            <family val="2"/>
          </rPr>
          <t xml:space="preserve">
Specify "shell and tube" or "tube only"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AF7F2C63-E1F8-42D1-878D-00188B43790E}">
      <text>
        <r>
          <rPr>
            <b/>
            <sz val="9"/>
            <color indexed="81"/>
            <rFont val="Tahoma"/>
            <family val="2"/>
          </rPr>
          <t>Carlos Arnaiz del Pozo:</t>
        </r>
        <r>
          <rPr>
            <sz val="9"/>
            <color indexed="81"/>
            <rFont val="Tahoma"/>
            <family val="2"/>
          </rPr>
          <t xml:space="preserve">
Specify vessel diameter in m</t>
        </r>
      </text>
    </comment>
    <comment ref="L14" authorId="0" shapeId="0" xr:uid="{AAF42FCE-7256-4DE6-856E-4941FC375340}">
      <text>
        <r>
          <rPr>
            <b/>
            <sz val="9"/>
            <color indexed="81"/>
            <rFont val="Tahoma"/>
            <family val="2"/>
          </rPr>
          <t>Carlos Arnaiz del Pozo:</t>
        </r>
        <r>
          <rPr>
            <sz val="9"/>
            <color indexed="81"/>
            <rFont val="Tahoma"/>
            <family val="2"/>
          </rPr>
          <t xml:space="preserve">
Specify vessel diameter in 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5" authorId="0" shapeId="0" xr:uid="{34B77D4C-B36C-4BEA-B558-2D2698129DF4}">
      <text>
        <r>
          <rPr>
            <b/>
            <sz val="9"/>
            <color indexed="81"/>
            <rFont val="Tahoma"/>
            <family val="2"/>
          </rPr>
          <t>Carlos Arnaiz del Pozo:</t>
        </r>
        <r>
          <rPr>
            <sz val="9"/>
            <color indexed="81"/>
            <rFont val="Tahoma"/>
            <family val="2"/>
          </rPr>
          <t xml:space="preserve">
Specify "shell and tube" or "tube only"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98ED76F9-999F-433A-A360-BF63820F6822}">
      <text>
        <r>
          <rPr>
            <b/>
            <sz val="9"/>
            <color indexed="81"/>
            <rFont val="Tahoma"/>
            <family val="2"/>
          </rPr>
          <t>Carlos Arnaiz del Pozo:</t>
        </r>
        <r>
          <rPr>
            <sz val="9"/>
            <color indexed="81"/>
            <rFont val="Tahoma"/>
            <family val="2"/>
          </rPr>
          <t xml:space="preserve">
Specify vessel diameter in m</t>
        </r>
      </text>
    </comment>
    <comment ref="L14" authorId="0" shapeId="0" xr:uid="{164675D1-0599-4BDA-A2AF-8C92C6E183B6}">
      <text>
        <r>
          <rPr>
            <b/>
            <sz val="9"/>
            <color indexed="81"/>
            <rFont val="Tahoma"/>
            <family val="2"/>
          </rPr>
          <t>Carlos Arnaiz del Pozo:</t>
        </r>
        <r>
          <rPr>
            <sz val="9"/>
            <color indexed="81"/>
            <rFont val="Tahoma"/>
            <family val="2"/>
          </rPr>
          <t xml:space="preserve">
Specify vessel diameter in m</t>
        </r>
      </text>
    </comment>
    <comment ref="L15" authorId="0" shapeId="0" xr:uid="{9163644D-33A7-4C56-8D80-50AB9623EED9}">
      <text>
        <r>
          <rPr>
            <b/>
            <sz val="9"/>
            <color indexed="81"/>
            <rFont val="Tahoma"/>
            <family val="2"/>
          </rPr>
          <t>Carlos Arnaiz del Pozo:</t>
        </r>
        <r>
          <rPr>
            <sz val="9"/>
            <color indexed="81"/>
            <rFont val="Tahoma"/>
            <family val="2"/>
          </rPr>
          <t xml:space="preserve">
Specify vessel diameter in m</t>
        </r>
      </text>
    </comment>
    <comment ref="L16" authorId="0" shapeId="0" xr:uid="{DEB6C531-C01C-4763-A4CF-048E543244C7}">
      <text>
        <r>
          <rPr>
            <b/>
            <sz val="9"/>
            <color indexed="81"/>
            <rFont val="Tahoma"/>
            <family val="2"/>
          </rPr>
          <t>Carlos Arnaiz del Pozo:</t>
        </r>
        <r>
          <rPr>
            <sz val="9"/>
            <color indexed="81"/>
            <rFont val="Tahoma"/>
            <family val="2"/>
          </rPr>
          <t xml:space="preserve">
Specify vessel diameter in m</t>
        </r>
      </text>
    </comment>
    <comment ref="L17" authorId="0" shapeId="0" xr:uid="{7A5A6D92-36D1-4CC9-941D-A7CB0F992052}">
      <text>
        <r>
          <rPr>
            <b/>
            <sz val="9"/>
            <color indexed="81"/>
            <rFont val="Tahoma"/>
            <family val="2"/>
          </rPr>
          <t>Carlos Arnaiz del Pozo:</t>
        </r>
        <r>
          <rPr>
            <sz val="9"/>
            <color indexed="81"/>
            <rFont val="Tahoma"/>
            <family val="2"/>
          </rPr>
          <t xml:space="preserve">
Specify "shell and tube" or "tube only"</t>
        </r>
      </text>
    </comment>
    <comment ref="L18" authorId="0" shapeId="0" xr:uid="{BBCF77DC-278B-45E3-B62A-F7FA06B57359}">
      <text>
        <r>
          <rPr>
            <b/>
            <sz val="9"/>
            <color indexed="81"/>
            <rFont val="Tahoma"/>
            <family val="2"/>
          </rPr>
          <t>Carlos Arnaiz del Pozo:</t>
        </r>
        <r>
          <rPr>
            <sz val="9"/>
            <color indexed="81"/>
            <rFont val="Tahoma"/>
            <family val="2"/>
          </rPr>
          <t xml:space="preserve">
Specify "shell and tube" or "tube only"</t>
        </r>
      </text>
    </comment>
    <comment ref="L19" authorId="0" shapeId="0" xr:uid="{C7D15BB0-CEA3-4860-8DF9-620DDFEB14D4}">
      <text>
        <r>
          <rPr>
            <b/>
            <sz val="9"/>
            <color indexed="81"/>
            <rFont val="Tahoma"/>
            <family val="2"/>
          </rPr>
          <t>Carlos Arnaiz del Pozo:</t>
        </r>
        <r>
          <rPr>
            <sz val="9"/>
            <color indexed="81"/>
            <rFont val="Tahoma"/>
            <family val="2"/>
          </rPr>
          <t xml:space="preserve">
Specify "shell and tube" or "tube only"</t>
        </r>
      </text>
    </comment>
    <comment ref="L21" authorId="0" shapeId="0" xr:uid="{0CBC7E85-FAE5-49A1-AA38-5308660DC10B}">
      <text>
        <r>
          <rPr>
            <b/>
            <sz val="9"/>
            <color indexed="81"/>
            <rFont val="Tahoma"/>
            <family val="2"/>
          </rPr>
          <t>Carlos Arnaiz del Pozo:</t>
        </r>
        <r>
          <rPr>
            <sz val="9"/>
            <color indexed="81"/>
            <rFont val="Tahoma"/>
            <family val="2"/>
          </rPr>
          <t xml:space="preserve">
Specify vessel diameter in m</t>
        </r>
      </text>
    </comment>
    <comment ref="L22" authorId="0" shapeId="0" xr:uid="{96F6CCC2-5C8E-49F0-8785-0309459A7613}">
      <text>
        <r>
          <rPr>
            <b/>
            <sz val="9"/>
            <color indexed="81"/>
            <rFont val="Tahoma"/>
            <family val="2"/>
          </rPr>
          <t>Carlos Arnaiz del Pozo:</t>
        </r>
        <r>
          <rPr>
            <sz val="9"/>
            <color indexed="81"/>
            <rFont val="Tahoma"/>
            <family val="2"/>
          </rPr>
          <t xml:space="preserve">
Specify "shell and tube" or "tube only"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7" authorId="0" shapeId="0" xr:uid="{82C991F8-4AAF-4B48-AFED-7DF9C08AE145}">
      <text>
        <r>
          <rPr>
            <b/>
            <sz val="9"/>
            <color indexed="81"/>
            <rFont val="Tahoma"/>
            <family val="2"/>
          </rPr>
          <t>Carlos Arnaiz del Pozo:</t>
        </r>
        <r>
          <rPr>
            <sz val="9"/>
            <color indexed="81"/>
            <rFont val="Tahoma"/>
            <family val="2"/>
          </rPr>
          <t xml:space="preserve">
Specify "shell and tube" or "tube only"</t>
        </r>
      </text>
    </comment>
    <comment ref="L18" authorId="0" shapeId="0" xr:uid="{990BB557-E734-4506-BC42-1B1731D54F84}">
      <text>
        <r>
          <rPr>
            <b/>
            <sz val="9"/>
            <color indexed="81"/>
            <rFont val="Tahoma"/>
            <family val="2"/>
          </rPr>
          <t>Carlos Arnaiz del Pozo:</t>
        </r>
        <r>
          <rPr>
            <sz val="9"/>
            <color indexed="81"/>
            <rFont val="Tahoma"/>
            <family val="2"/>
          </rPr>
          <t xml:space="preserve">
Specify "shell and tube" or "tube only"</t>
        </r>
      </text>
    </comment>
    <comment ref="L19" authorId="0" shapeId="0" xr:uid="{B37344A5-F6F3-447E-A332-B648D74FC4E8}">
      <text>
        <r>
          <rPr>
            <b/>
            <sz val="9"/>
            <color indexed="81"/>
            <rFont val="Tahoma"/>
            <family val="2"/>
          </rPr>
          <t>Carlos Arnaiz del Pozo:</t>
        </r>
        <r>
          <rPr>
            <sz val="9"/>
            <color indexed="81"/>
            <rFont val="Tahoma"/>
            <family val="2"/>
          </rPr>
          <t xml:space="preserve">
Specify "shell and tube" or "tube only"</t>
        </r>
      </text>
    </comment>
    <comment ref="L20" authorId="0" shapeId="0" xr:uid="{4D32936F-ED3C-41EA-8C09-BB3A3FBA4678}">
      <text>
        <r>
          <rPr>
            <b/>
            <sz val="9"/>
            <color indexed="81"/>
            <rFont val="Tahoma"/>
            <family val="2"/>
          </rPr>
          <t>Carlos Arnaiz del Pozo:</t>
        </r>
        <r>
          <rPr>
            <sz val="9"/>
            <color indexed="81"/>
            <rFont val="Tahoma"/>
            <family val="2"/>
          </rPr>
          <t xml:space="preserve">
Specify vessel diameter in 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63F1177E-8518-4326-827F-70B7FC23D2B1}">
      <text>
        <r>
          <rPr>
            <b/>
            <sz val="9"/>
            <color indexed="81"/>
            <rFont val="Tahoma"/>
            <family val="2"/>
          </rPr>
          <t>Carlos Arnaiz del Pozo:</t>
        </r>
        <r>
          <rPr>
            <sz val="9"/>
            <color indexed="81"/>
            <rFont val="Tahoma"/>
            <family val="2"/>
          </rPr>
          <t xml:space="preserve">
Specify "shell and tube" or "tube only"</t>
        </r>
      </text>
    </comment>
    <comment ref="L14" authorId="0" shapeId="0" xr:uid="{80CEC7F5-CC49-4706-8AF2-B6D2FA3554B2}">
      <text>
        <r>
          <rPr>
            <b/>
            <sz val="9"/>
            <color indexed="81"/>
            <rFont val="Tahoma"/>
            <family val="2"/>
          </rPr>
          <t>Carlos Arnaiz del Pozo:</t>
        </r>
        <r>
          <rPr>
            <sz val="9"/>
            <color indexed="81"/>
            <rFont val="Tahoma"/>
            <family val="2"/>
          </rPr>
          <t xml:space="preserve">
Specify "shell and tube" or "tube only"</t>
        </r>
      </text>
    </comment>
    <comment ref="L15" authorId="0" shapeId="0" xr:uid="{8B63051B-315B-413E-A398-0A27C199063C}">
      <text>
        <r>
          <rPr>
            <b/>
            <sz val="9"/>
            <color indexed="81"/>
            <rFont val="Tahoma"/>
            <family val="2"/>
          </rPr>
          <t>Carlos Arnaiz del Pozo:</t>
        </r>
        <r>
          <rPr>
            <sz val="9"/>
            <color indexed="81"/>
            <rFont val="Tahoma"/>
            <family val="2"/>
          </rPr>
          <t xml:space="preserve">
Specify vessel diameter in m</t>
        </r>
      </text>
    </comment>
    <comment ref="L16" authorId="0" shapeId="0" xr:uid="{10EE6ACF-C9DA-4272-9643-418E0BCD0211}">
      <text>
        <r>
          <rPr>
            <b/>
            <sz val="9"/>
            <color indexed="81"/>
            <rFont val="Tahoma"/>
            <family val="2"/>
          </rPr>
          <t>Carlos Arnaiz del Pozo:</t>
        </r>
        <r>
          <rPr>
            <sz val="9"/>
            <color indexed="81"/>
            <rFont val="Tahoma"/>
            <family val="2"/>
          </rPr>
          <t xml:space="preserve">
Specify vessel diameter in m</t>
        </r>
      </text>
    </comment>
    <comment ref="L20" authorId="0" shapeId="0" xr:uid="{1DD020AA-11E9-43F9-A378-7BA2B243BB90}">
      <text>
        <r>
          <rPr>
            <b/>
            <sz val="9"/>
            <color indexed="81"/>
            <rFont val="Tahoma"/>
            <family val="2"/>
          </rPr>
          <t>Carlos Arnaiz del Pozo:</t>
        </r>
        <r>
          <rPr>
            <sz val="9"/>
            <color indexed="81"/>
            <rFont val="Tahoma"/>
            <family val="2"/>
          </rPr>
          <t xml:space="preserve">
Specify "shell and tube" or "tube only"</t>
        </r>
      </text>
    </comment>
    <comment ref="L21" authorId="0" shapeId="0" xr:uid="{9B689224-D0A1-4ADD-A9C6-1231BB41ED29}">
      <text>
        <r>
          <rPr>
            <b/>
            <sz val="9"/>
            <color indexed="81"/>
            <rFont val="Tahoma"/>
            <family val="2"/>
          </rPr>
          <t>Carlos Arnaiz del Pozo:</t>
        </r>
        <r>
          <rPr>
            <sz val="9"/>
            <color indexed="81"/>
            <rFont val="Tahoma"/>
            <family val="2"/>
          </rPr>
          <t xml:space="preserve">
Specify "shell and tube" or "tube only"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N41" authorId="0" shapeId="0" xr:uid="{6F3E76CB-5434-40C6-BF2B-7400D0CDEE91}">
      <text>
        <r>
          <rPr>
            <b/>
            <sz val="9"/>
            <color indexed="81"/>
            <rFont val="Tahoma"/>
            <family val="2"/>
          </rPr>
          <t>Carlos Arnaiz del Pozo:</t>
        </r>
        <r>
          <rPr>
            <sz val="9"/>
            <color indexed="81"/>
            <rFont val="Tahoma"/>
            <family val="2"/>
          </rPr>
          <t xml:space="preserve">
Eliminating rows linked to the spreadsheet will break references</t>
        </r>
      </text>
    </comment>
    <comment ref="F42" authorId="0" shapeId="0" xr:uid="{F2F14BBA-09AB-4FC9-B036-AE9EE1A6D7D2}">
      <text>
        <r>
          <rPr>
            <b/>
            <sz val="9"/>
            <color indexed="81"/>
            <rFont val="Tahoma"/>
            <family val="2"/>
          </rPr>
          <t>Carlos Arnaiz del Pozo:</t>
        </r>
        <r>
          <rPr>
            <sz val="9"/>
            <color indexed="81"/>
            <rFont val="Tahoma"/>
            <family val="2"/>
          </rPr>
          <t xml:space="preserve">
Import value from Ind. Var. Cell in sheet</t>
        </r>
      </text>
    </comment>
    <comment ref="G42" authorId="0" shapeId="0" xr:uid="{91436F4A-3D94-4B0C-A254-8D5EC3D20DD1}">
      <text>
        <r>
          <rPr>
            <b/>
            <sz val="9"/>
            <color indexed="81"/>
            <rFont val="Tahoma"/>
            <family val="2"/>
          </rPr>
          <t>Carlos Arnaiz del Pozo:</t>
        </r>
        <r>
          <rPr>
            <sz val="9"/>
            <color indexed="81"/>
            <rFont val="Tahoma"/>
            <family val="2"/>
          </rPr>
          <t xml:space="preserve">
Export to Man. Var. Cell in sheet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B10" authorId="0" shapeId="0" xr:uid="{526E23E9-61CF-41CC-AA57-DE5AB17B43B1}">
      <text>
        <r>
          <rPr>
            <b/>
            <sz val="9"/>
            <color indexed="81"/>
            <rFont val="Tahoma"/>
            <family val="2"/>
          </rPr>
          <t>Carlos Arnaiz del Pozo:</t>
        </r>
        <r>
          <rPr>
            <sz val="9"/>
            <color indexed="81"/>
            <rFont val="Tahoma"/>
            <family val="2"/>
          </rPr>
          <t xml:space="preserve">
Excluding fuel, electrcity and CO2 taxes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<sst xmlns="http://schemas.openxmlformats.org/spreadsheetml/2006/main" count="3420" uniqueCount="1109">
  <si>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</si>
  <si>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</si>
  <si>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</si>
  <si>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</si>
  <si>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</si>
  <si>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</si>
  <si>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</si>
  <si>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</si>
  <si>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</si>
  <si>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</si>
  <si>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</si>
  <si>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</si>
  <si>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</si>
  <si>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</si>
  <si>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</si>
  <si>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</si>
  <si>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</si>
  <si>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</si>
  <si>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</si>
  <si>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</si>
  <si>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</si>
  <si>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</si>
  <si>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</si>
  <si>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</si>
  <si>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</si>
  <si>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</si>
  <si>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</si>
  <si>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</si>
  <si>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</si>
  <si>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</si>
  <si>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</si>
  <si>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</si>
  <si>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</si>
  <si>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</si>
  <si>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</si>
  <si>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</si>
  <si>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</si>
  <si>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</si>
  <si>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</si>
  <si>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</si>
  <si>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</si>
  <si>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</si>
  <si>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</si>
  <si>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</si>
  <si>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</si>
  <si>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</si>
  <si>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</si>
  <si>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</si>
  <si>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</si>
  <si>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</si>
  <si>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</si>
  <si>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</si>
  <si>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</si>
  <si>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</si>
  <si>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</si>
  <si>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</si>
  <si>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</si>
  <si>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</si>
  <si>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</si>
  <si>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</si>
  <si>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</si>
  <si>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</si>
  <si>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</si>
  <si>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</si>
  <si>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</si>
  <si>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</si>
  <si>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</si>
  <si>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</si>
  <si>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</si>
  <si>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</si>
  <si>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</si>
  <si>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</si>
  <si>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</si>
  <si>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</si>
  <si>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</si>
  <si>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</si>
  <si>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</si>
  <si>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</si>
  <si>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</si>
  <si>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</si>
  <si>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</si>
  <si>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</si>
  <si>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</si>
  <si>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</si>
  <si>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</si>
  <si>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</si>
  <si>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</si>
  <si>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</si>
  <si>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</si>
  <si>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</si>
  <si>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</si>
  <si>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</si>
  <si>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</si>
  <si>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</si>
  <si>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</si>
  <si>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</si>
  <si>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</si>
  <si>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</si>
  <si>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</si>
  <si>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</si>
  <si>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</si>
  <si>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</si>
  <si>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</si>
  <si>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</si>
  <si>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</si>
  <si>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</si>
  <si>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</si>
  <si>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</si>
  <si>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</si>
  <si>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</si>
  <si>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</si>
  <si>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</si>
  <si>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</si>
  <si>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</si>
  <si>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</si>
  <si>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</si>
  <si>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</si>
  <si>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</si>
  <si>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</si>
  <si>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</si>
  <si>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</si>
  <si>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</si>
  <si>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</si>
  <si>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</si>
  <si>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</si>
  <si>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</si>
  <si>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</si>
  <si>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</si>
  <si>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</si>
  <si>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</si>
  <si>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</si>
  <si>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</si>
  <si>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</si>
  <si>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</si>
  <si>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</si>
  <si>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</si>
  <si>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</si>
  <si>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</si>
  <si>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</si>
  <si>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</si>
  <si>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</si>
  <si>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</si>
  <si>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</si>
  <si>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</si>
  <si>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</si>
  <si>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</si>
  <si>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</si>
  <si>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</si>
  <si>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</si>
  <si>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</si>
  <si>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</si>
  <si>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</si>
  <si>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</si>
  <si>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</si>
  <si>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</si>
  <si>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</si>
  <si>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</si>
  <si>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</si>
  <si>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</si>
  <si>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</si>
  <si>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</si>
  <si>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</si>
  <si>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</si>
  <si>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</si>
  <si>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</si>
  <si>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</si>
  <si>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</si>
  <si>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</si>
  <si>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</si>
  <si>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</si>
  <si>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</si>
  <si>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</si>
  <si>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</si>
  <si>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</si>
  <si>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</si>
  <si>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</si>
  <si>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</si>
  <si>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</si>
  <si>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</si>
  <si>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</si>
  <si>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</si>
  <si>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</si>
  <si>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</si>
  <si>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</si>
  <si>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</si>
  <si>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</si>
  <si>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</si>
  <si>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</si>
  <si>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</si>
  <si>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</si>
  <si>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</si>
  <si>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</si>
  <si>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</si>
  <si>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</si>
  <si>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</si>
  <si>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</si>
  <si>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</si>
  <si>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</si>
  <si>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</si>
  <si>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</si>
  <si>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</si>
  <si>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</si>
  <si>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</si>
  <si>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</si>
  <si>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</si>
  <si>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</si>
  <si>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</si>
  <si>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</si>
  <si>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</si>
  <si>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</si>
  <si>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</si>
  <si>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</si>
  <si>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</si>
  <si>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</si>
  <si>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</si>
  <si>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</si>
  <si>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</si>
  <si>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</si>
  <si>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</si>
  <si>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</si>
  <si>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</si>
  <si>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</si>
  <si>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</si>
  <si>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</si>
  <si>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</si>
  <si>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</si>
  <si>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</si>
  <si>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</si>
  <si>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</si>
  <si>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</si>
  <si>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</si>
  <si>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</si>
  <si>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</si>
  <si>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</si>
  <si>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</si>
  <si>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</si>
  <si>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</si>
  <si>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</si>
  <si>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</si>
  <si>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</si>
  <si>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</si>
  <si>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</si>
  <si>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</si>
  <si>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</si>
  <si>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</si>
  <si>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</si>
  <si>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</si>
  <si>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</si>
  <si>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</si>
  <si>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</si>
  <si>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</si>
  <si>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</si>
  <si>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</si>
  <si>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</si>
  <si>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</si>
  <si>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</si>
  <si>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</si>
  <si>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</si>
  <si>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</si>
  <si>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</si>
  <si>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</si>
  <si>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</si>
  <si>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</si>
  <si>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</si>
  <si>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</si>
  <si>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</si>
  <si>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</si>
  <si>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</si>
  <si>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</si>
  <si>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</si>
  <si>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</si>
  <si>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</si>
  <si>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</si>
  <si>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</si>
  <si>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</si>
  <si>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</si>
  <si>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</si>
  <si>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</si>
  <si>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</si>
  <si>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</si>
  <si>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</si>
  <si>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</si>
  <si>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</si>
  <si>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</si>
  <si>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</si>
  <si>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</si>
  <si>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</si>
  <si>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</si>
  <si>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</si>
  <si>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</si>
  <si>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</si>
  <si>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</si>
  <si>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</si>
  <si>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</si>
  <si>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</si>
  <si>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</si>
  <si>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</si>
  <si>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</si>
  <si>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</si>
  <si>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</si>
  <si>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</si>
  <si>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</si>
  <si>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</si>
  <si>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</si>
  <si>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</si>
  <si>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</si>
  <si>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</si>
  <si>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</si>
  <si>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</si>
  <si>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</si>
  <si>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</si>
  <si>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</si>
  <si>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</si>
  <si>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</si>
  <si>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</si>
  <si>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</si>
  <si>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</si>
  <si>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</si>
  <si>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</si>
  <si>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</si>
  <si>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</si>
  <si>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</si>
  <si>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</si>
  <si>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</si>
  <si>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</si>
  <si>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</si>
  <si>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</si>
  <si>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</si>
  <si>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</si>
  <si>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</si>
  <si>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</si>
  <si>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</si>
  <si>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</si>
  <si>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</si>
  <si>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</si>
  <si>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</si>
  <si>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</si>
  <si>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</si>
  <si>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</si>
  <si>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</si>
  <si>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</si>
  <si>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</si>
  <si>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</si>
  <si>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</si>
  <si>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</si>
  <si>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</si>
  <si>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</si>
  <si>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</si>
  <si>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</si>
  <si>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</si>
  <si>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</si>
  <si>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</si>
  <si>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</si>
  <si>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</si>
  <si>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</si>
  <si>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</si>
  <si>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</si>
  <si>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</si>
  <si>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</si>
  <si>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</si>
  <si>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</si>
  <si>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</si>
  <si>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</si>
  <si>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</si>
  <si>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</si>
  <si>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</si>
  <si>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</si>
  <si>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</si>
  <si>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</si>
  <si>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</si>
  <si>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</si>
  <si>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</si>
  <si>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</si>
  <si>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</si>
  <si>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</si>
  <si>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</si>
  <si>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</si>
  <si>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</si>
  <si>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</si>
  <si>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</si>
  <si>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</si>
  <si>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</si>
  <si>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</si>
  <si>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</si>
  <si>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</si>
  <si>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</si>
  <si>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</si>
  <si>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</si>
  <si>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</si>
  <si>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</si>
  <si>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</si>
  <si>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</si>
  <si>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</si>
  <si>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</si>
  <si>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</si>
  <si>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</si>
  <si>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</si>
  <si>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</si>
  <si>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</si>
  <si>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</si>
  <si>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</si>
  <si>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</si>
  <si>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</si>
  <si>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</si>
  <si>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</si>
  <si>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</si>
  <si>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</si>
  <si>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</si>
  <si>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</si>
  <si>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</si>
  <si>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</si>
  <si>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</si>
  <si>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</si>
  <si>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</si>
  <si>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</si>
  <si>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</si>
  <si>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</si>
  <si>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</si>
  <si>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</si>
  <si>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</si>
  <si>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</si>
  <si>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</si>
  <si>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</si>
  <si>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</si>
  <si>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</si>
  <si>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</si>
  <si>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</si>
  <si>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</si>
  <si>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</si>
  <si>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</si>
  <si>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</si>
  <si>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</si>
  <si>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</si>
  <si>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</si>
  <si>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</si>
  <si>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</si>
  <si>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</si>
  <si>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</si>
  <si>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</si>
  <si>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</si>
  <si>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</si>
  <si>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</si>
  <si>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</si>
  <si>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</si>
  <si>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</si>
  <si>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</si>
  <si>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</si>
  <si>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</si>
  <si>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</si>
  <si>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</si>
  <si>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</si>
  <si>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</si>
  <si>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</si>
  <si>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</si>
  <si>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</si>
  <si>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</si>
  <si>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</si>
  <si>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</si>
  <si>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</si>
  <si>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</si>
  <si>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</si>
  <si>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</si>
  <si>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</si>
  <si>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</si>
  <si>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</si>
  <si>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</si>
  <si>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</si>
  <si>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</si>
  <si>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</si>
  <si>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</si>
  <si>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</si>
  <si>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</si>
  <si>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</si>
  <si>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</si>
  <si>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</si>
  <si>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</si>
  <si>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</si>
  <si>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</si>
  <si>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</si>
  <si>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</si>
  <si>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</si>
  <si>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</si>
  <si>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</si>
  <si>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</si>
  <si>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</si>
  <si>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</si>
  <si>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</si>
  <si>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</si>
  <si>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</si>
  <si>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</si>
  <si>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</si>
  <si>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</si>
  <si>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</si>
  <si>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</si>
  <si>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</si>
  <si>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</si>
  <si>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</si>
  <si>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</si>
  <si>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</si>
  <si>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</si>
  <si>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</si>
  <si>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</si>
  <si>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</si>
  <si>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</si>
  <si>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</si>
  <si>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</si>
  <si>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</si>
  <si>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</si>
  <si>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</si>
  <si>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</si>
  <si>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</si>
  <si>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</si>
  <si>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</si>
  <si>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</si>
  <si>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</si>
  <si>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</si>
  <si>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</si>
  <si>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</si>
  <si>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</si>
  <si>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</si>
  <si>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</si>
  <si>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</si>
  <si>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</si>
  <si>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</si>
  <si>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</si>
  <si>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</si>
  <si>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</si>
  <si>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</si>
  <si>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</si>
  <si>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</si>
  <si>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</si>
  <si>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</si>
  <si>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</si>
  <si>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</si>
  <si>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</si>
  <si>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</si>
  <si>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</si>
  <si>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</si>
  <si>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</si>
  <si>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</si>
  <si>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</si>
  <si>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</si>
  <si>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</si>
  <si>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</si>
  <si>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</si>
  <si>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</si>
  <si>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</si>
  <si>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</si>
  <si>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</si>
  <si>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</si>
  <si>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</si>
  <si>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</si>
  <si>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</si>
  <si>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</si>
  <si>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</si>
  <si>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</si>
  <si>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</si>
  <si>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</si>
  <si>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</si>
  <si>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</si>
  <si>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</si>
  <si>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</si>
  <si>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</si>
  <si>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</si>
  <si>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</si>
  <si>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</si>
  <si>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</si>
  <si>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</si>
  <si>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</si>
  <si>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</si>
  <si>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</si>
  <si>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</si>
  <si>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</si>
  <si>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</si>
  <si>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</si>
  <si>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</si>
  <si>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</si>
  <si>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</si>
  <si>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</si>
  <si>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</si>
  <si>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</si>
  <si>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</si>
  <si>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</si>
  <si>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</si>
  <si>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</si>
  <si>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</si>
  <si>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</si>
  <si>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</si>
  <si>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</si>
  <si>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</si>
  <si>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</si>
  <si>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</si>
  <si>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</si>
  <si>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</si>
  <si>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</si>
  <si>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</si>
  <si>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</si>
  <si>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</si>
  <si>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</si>
  <si>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</si>
  <si>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</si>
  <si>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</si>
  <si>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</si>
  <si>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</si>
  <si>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</si>
  <si>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</si>
  <si>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</si>
  <si>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</si>
  <si>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</si>
  <si>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</si>
  <si>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</si>
  <si>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</si>
  <si>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</si>
  <si>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</si>
  <si>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</si>
  <si>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</si>
  <si>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</si>
  <si>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</si>
  <si>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</si>
  <si>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</si>
  <si>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</si>
  <si>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</si>
  <si>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</si>
  <si>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</si>
  <si>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</si>
  <si>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</si>
  <si>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</si>
  <si>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</si>
  <si>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</si>
  <si>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</si>
  <si>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</si>
  <si>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</si>
  <si>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</si>
  <si>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</si>
  <si>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</si>
  <si>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</si>
  <si>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</si>
  <si>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</si>
  <si>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</si>
  <si>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</si>
  <si>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</si>
  <si>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</si>
  <si>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</si>
  <si>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</si>
  <si>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</si>
  <si>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</si>
  <si>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</si>
  <si>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</si>
  <si>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</si>
  <si>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</si>
  <si>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</si>
  <si>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</si>
  <si>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</si>
  <si>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</si>
  <si>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</si>
  <si>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</si>
  <si>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</si>
  <si>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</si>
  <si>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</si>
  <si>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</si>
  <si>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Item 1</t>
  </si>
  <si>
    <t>Item 2</t>
  </si>
  <si>
    <t>LCOP</t>
  </si>
  <si>
    <t>Sales</t>
  </si>
  <si>
    <t>Value</t>
  </si>
  <si>
    <t>Output</t>
  </si>
  <si>
    <t>Efficiency</t>
  </si>
  <si>
    <t>Scaling Cost Law (Misc. Items)</t>
  </si>
  <si>
    <t>CORRELATION FORMULATION</t>
  </si>
  <si>
    <t>Packing</t>
  </si>
  <si>
    <t>Unit Name</t>
  </si>
  <si>
    <t>unit/year</t>
  </si>
  <si>
    <t>cost/unit</t>
  </si>
  <si>
    <t>Concept</t>
  </si>
  <si>
    <t>Plant Name</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</si>
  <si>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</si>
  <si>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</si>
  <si>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</si>
  <si>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</si>
  <si>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</si>
  <si>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</si>
  <si>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</si>
  <si>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</si>
  <si>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</si>
  <si>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Unit Definition</t>
  </si>
  <si>
    <t>Benchmark</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</si>
  <si>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</si>
  <si>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</si>
  <si>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</si>
  <si>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</si>
  <si>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</si>
  <si>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</si>
  <si>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</si>
  <si>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</si>
  <si>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</si>
  <si>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</si>
  <si>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</si>
  <si>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</si>
  <si>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</si>
  <si>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</si>
  <si>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</si>
  <si>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</si>
  <si>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</si>
  <si>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</si>
  <si>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</si>
  <si>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</si>
  <si>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</si>
  <si>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</si>
  <si>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</si>
  <si>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</si>
  <si>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</si>
  <si>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</si>
  <si>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</si>
  <si>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</si>
  <si>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</si>
  <si>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</si>
  <si>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</si>
  <si>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</si>
  <si>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</si>
  <si>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</si>
  <si>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</si>
  <si>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</si>
  <si>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</si>
  <si>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</si>
  <si>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Stream</t>
  </si>
  <si>
    <t>Stream, Property and Component must contain at least 1 item each</t>
  </si>
  <si>
    <t>Stream Summary Configuration</t>
  </si>
  <si>
    <t>Lists must contain a minimum of 2 Items</t>
  </si>
  <si>
    <t>Power Breakdown</t>
  </si>
  <si>
    <t>Off-gas compressor</t>
  </si>
  <si>
    <t>Air compressor</t>
  </si>
  <si>
    <t>Steam Esports</t>
  </si>
  <si>
    <t>N2</t>
  </si>
  <si>
    <t>MW</t>
  </si>
  <si>
    <t>Emissions Intensity</t>
  </si>
  <si>
    <t>kg/MJ</t>
  </si>
  <si>
    <t>CO2 Emissions</t>
  </si>
  <si>
    <t>Captured</t>
  </si>
  <si>
    <t>Air in</t>
  </si>
  <si>
    <t>Air out</t>
  </si>
  <si>
    <t>water vent</t>
  </si>
  <si>
    <t>total emissions</t>
  </si>
  <si>
    <t>CC</t>
  </si>
  <si>
    <t>kg/s</t>
  </si>
  <si>
    <t>g/MJ</t>
  </si>
  <si>
    <t>Ref. SMR Plant</t>
  </si>
  <si>
    <t>CA</t>
  </si>
  <si>
    <t>E electricity</t>
  </si>
  <si>
    <t>E thermal</t>
  </si>
  <si>
    <t>E steam</t>
  </si>
  <si>
    <t>Net Power</t>
  </si>
  <si>
    <t>Emissions Performance</t>
  </si>
  <si>
    <t>LHV</t>
  </si>
  <si>
    <t>NG</t>
  </si>
  <si>
    <t>kJ/kg</t>
  </si>
  <si>
    <t>Ref. Efficiency</t>
  </si>
  <si>
    <t>CA'</t>
  </si>
  <si>
    <t>m eq</t>
  </si>
  <si>
    <t>m 'eq</t>
  </si>
  <si>
    <t>Efficiency  (Aux)</t>
  </si>
  <si>
    <t>Electrcity</t>
  </si>
  <si>
    <t>Steam</t>
  </si>
  <si>
    <t>Planr Efficiency</t>
  </si>
  <si>
    <t>LHV Input</t>
  </si>
  <si>
    <t>Balance</t>
  </si>
  <si>
    <t>SPECCA</t>
  </si>
  <si>
    <t>SPECCA'</t>
  </si>
  <si>
    <t>Specific Emissions</t>
  </si>
  <si>
    <t>GSR</t>
  </si>
  <si>
    <t>U-500</t>
  </si>
  <si>
    <t>WGS</t>
  </si>
  <si>
    <t>Desulphurizer</t>
  </si>
  <si>
    <t>Pre-reformer</t>
  </si>
  <si>
    <t>U-600</t>
  </si>
  <si>
    <t>Shell</t>
  </si>
  <si>
    <t>mol/s</t>
  </si>
  <si>
    <t>Outlet flowrate</t>
  </si>
  <si>
    <t>Temperature</t>
  </si>
  <si>
    <t>deg C</t>
  </si>
  <si>
    <t>Pressure</t>
  </si>
  <si>
    <t>bar</t>
  </si>
  <si>
    <t>Volumetric flowrate</t>
  </si>
  <si>
    <t>Reforming ratio</t>
  </si>
  <si>
    <t>to total</t>
  </si>
  <si>
    <t>Total gas flowrate</t>
  </si>
  <si>
    <t>Process Variables</t>
  </si>
  <si>
    <t>Fluidization velocity</t>
  </si>
  <si>
    <t>m/s</t>
  </si>
  <si>
    <t>Reactor surface area</t>
  </si>
  <si>
    <t>Number of reactors</t>
  </si>
  <si>
    <t>Reactor diameter</t>
  </si>
  <si>
    <t>Aspect ratio</t>
  </si>
  <si>
    <t>Insulation</t>
  </si>
  <si>
    <t>Volume</t>
  </si>
  <si>
    <t>$/m3</t>
  </si>
  <si>
    <t>Steel rods ratio</t>
  </si>
  <si>
    <t>Insulation thickness</t>
  </si>
  <si>
    <t>Reactor Sizing</t>
  </si>
  <si>
    <t>INS</t>
  </si>
  <si>
    <t>Reactor Factor</t>
  </si>
  <si>
    <t>GSV</t>
  </si>
  <si>
    <t>Valves</t>
  </si>
  <si>
    <t>Flow rate</t>
  </si>
  <si>
    <t>ROD</t>
  </si>
  <si>
    <t>Rods</t>
  </si>
  <si>
    <t>Mass</t>
  </si>
  <si>
    <t>ton</t>
  </si>
  <si>
    <t>Rod density</t>
  </si>
  <si>
    <t>kg/m3</t>
  </si>
  <si>
    <t>Installation Factor</t>
  </si>
  <si>
    <t>OC</t>
  </si>
  <si>
    <t>Oxygen Carrier</t>
  </si>
  <si>
    <t>OC Density</t>
  </si>
  <si>
    <t>Properties</t>
  </si>
  <si>
    <t>Volume fraction</t>
  </si>
  <si>
    <t>Molar flow</t>
  </si>
  <si>
    <t>W/m2K</t>
  </si>
  <si>
    <t xml:space="preserve"> Gas at 1 atm</t>
  </si>
  <si>
    <t>Pressure Exponent</t>
  </si>
  <si>
    <t>Liquid</t>
  </si>
  <si>
    <t>Phase change</t>
  </si>
  <si>
    <t>Heat Exchanger Sizing</t>
  </si>
  <si>
    <t>Simulation Input</t>
  </si>
  <si>
    <t>Side 1</t>
  </si>
  <si>
    <t>Side 2</t>
  </si>
  <si>
    <t>HTC</t>
  </si>
  <si>
    <t>UA (kJ/hºC)</t>
  </si>
  <si>
    <t>Type</t>
  </si>
  <si>
    <t>type/pres.</t>
  </si>
  <si>
    <t>value</t>
  </si>
  <si>
    <t>U (W/m2K)</t>
  </si>
  <si>
    <t>gas-evap.</t>
  </si>
  <si>
    <t>Ph. Ch.</t>
  </si>
  <si>
    <t>Hex 4</t>
  </si>
  <si>
    <t>Cooler 2</t>
  </si>
  <si>
    <t>gas-gas</t>
  </si>
  <si>
    <t>Gas Switching Reforming Island</t>
  </si>
  <si>
    <t>WGS parameters</t>
  </si>
  <si>
    <t>WGS catalyst costs</t>
  </si>
  <si>
    <t>Insulation cost</t>
  </si>
  <si>
    <t>catalyst density</t>
  </si>
  <si>
    <t>Reactor Sising</t>
  </si>
  <si>
    <t>Reacto Vessel 1</t>
  </si>
  <si>
    <t>Reactor Vessel 2</t>
  </si>
  <si>
    <t>Volume (m3)</t>
  </si>
  <si>
    <t>factor</t>
  </si>
  <si>
    <t>Voidage</t>
  </si>
  <si>
    <t>Aspec Ratio</t>
  </si>
  <si>
    <t>Diameter</t>
  </si>
  <si>
    <t>Velocity (m/s)</t>
  </si>
  <si>
    <t>Insulation Thickness</t>
  </si>
  <si>
    <t>INS 1</t>
  </si>
  <si>
    <t>INS 2</t>
  </si>
  <si>
    <t>CAT 1</t>
  </si>
  <si>
    <t>CAT 2</t>
  </si>
  <si>
    <t>Thermal Input</t>
  </si>
  <si>
    <t>Knock Out Drum</t>
  </si>
  <si>
    <t>vg (m3/s)</t>
  </si>
  <si>
    <t>vl (m3/s)</t>
  </si>
  <si>
    <t>pl (kg/m3)</t>
  </si>
  <si>
    <t>pv (kg/m3)</t>
  </si>
  <si>
    <t>A (m2)</t>
  </si>
  <si>
    <t>Vg (m3)</t>
  </si>
  <si>
    <t>Vl (m3)</t>
  </si>
  <si>
    <t>CPU vent</t>
  </si>
  <si>
    <t>D (m)</t>
  </si>
  <si>
    <t>Pressure (bar)</t>
  </si>
  <si>
    <t>Volume of catalyst</t>
  </si>
  <si>
    <t>CWT</t>
  </si>
  <si>
    <t>H2 Cooler</t>
  </si>
  <si>
    <t>gas-lq</t>
  </si>
  <si>
    <t>liq-cond</t>
  </si>
  <si>
    <t>gas-liq</t>
  </si>
  <si>
    <t>gas-cond</t>
  </si>
  <si>
    <t>Item 5</t>
  </si>
  <si>
    <t>Item 6</t>
  </si>
  <si>
    <t>IEAGHG</t>
  </si>
  <si>
    <t>kmol/s</t>
  </si>
  <si>
    <t>€/GJ</t>
  </si>
  <si>
    <t>Operating Labour</t>
  </si>
  <si>
    <t xml:space="preserve">Maintenance </t>
  </si>
  <si>
    <t>Insurance</t>
  </si>
  <si>
    <t>CO2 Transport &amp; Sotrage</t>
  </si>
  <si>
    <t>Process Water</t>
  </si>
  <si>
    <t>Make Up Water</t>
  </si>
  <si>
    <t>OC Carrier</t>
  </si>
  <si>
    <t>WGS Catalyst</t>
  </si>
  <si>
    <t>Adsorbent</t>
  </si>
  <si>
    <t>LP Steam Exports</t>
  </si>
  <si>
    <t>Electricity</t>
  </si>
  <si>
    <t>$/ton</t>
  </si>
  <si>
    <t>GJ/y</t>
  </si>
  <si>
    <t>Catalysts &amp; Chemicals</t>
  </si>
  <si>
    <t>Replacement Period</t>
  </si>
  <si>
    <t>Make up Water</t>
  </si>
  <si>
    <t>m3/y</t>
  </si>
  <si>
    <t>kg/y</t>
  </si>
  <si>
    <t>CO2 Captured</t>
  </si>
  <si>
    <t>y</t>
  </si>
  <si>
    <t>t/y</t>
  </si>
  <si>
    <r>
      <rPr>
        <sz val="11"/>
        <color theme="1"/>
        <rFont val="Calibri"/>
        <family val="2"/>
      </rPr>
      <t>€</t>
    </r>
    <r>
      <rPr>
        <sz val="6.05"/>
        <color theme="1"/>
        <rFont val="Calibri"/>
        <family val="2"/>
      </rPr>
      <t>/ton</t>
    </r>
  </si>
  <si>
    <t>MWh/y</t>
  </si>
  <si>
    <r>
      <rPr>
        <sz val="11"/>
        <color theme="1"/>
        <rFont val="Calibri"/>
        <family val="2"/>
      </rPr>
      <t>€</t>
    </r>
    <r>
      <rPr>
        <sz val="6.05"/>
        <color theme="1"/>
        <rFont val="Calibri"/>
        <family val="2"/>
      </rPr>
      <t>/MWh</t>
    </r>
  </si>
  <si>
    <t>LP Steam</t>
  </si>
  <si>
    <r>
      <t>$</t>
    </r>
    <r>
      <rPr>
        <sz val="6.05"/>
        <color theme="1"/>
        <rFont val="Calibri"/>
        <family val="2"/>
      </rPr>
      <t>/ton</t>
    </r>
  </si>
  <si>
    <r>
      <t>$</t>
    </r>
    <r>
      <rPr>
        <sz val="6.05"/>
        <color theme="1"/>
        <rFont val="Calibri"/>
        <family val="2"/>
      </rPr>
      <t>/m3</t>
    </r>
  </si>
  <si>
    <t>m3 gas/m3 ads</t>
  </si>
  <si>
    <t>Ads.</t>
  </si>
  <si>
    <t>STDm3/s</t>
  </si>
  <si>
    <t>gas flow</t>
  </si>
  <si>
    <t>Ads. Density</t>
  </si>
  <si>
    <t>g/cm3</t>
  </si>
  <si>
    <t>$/kg</t>
  </si>
  <si>
    <t>nC4</t>
  </si>
  <si>
    <t>iC4</t>
  </si>
  <si>
    <t>nC5</t>
  </si>
  <si>
    <t>C1</t>
  </si>
  <si>
    <t>C2</t>
  </si>
  <si>
    <t>C3</t>
  </si>
  <si>
    <t>iC5</t>
  </si>
  <si>
    <t>NG Composition</t>
  </si>
  <si>
    <t>%mol.</t>
  </si>
  <si>
    <t>m (kg/s)</t>
  </si>
  <si>
    <t>P (bar)</t>
  </si>
  <si>
    <t>T(ºC)</t>
  </si>
  <si>
    <t>Composition (%mol)</t>
  </si>
  <si>
    <t>O2</t>
  </si>
  <si>
    <t>Ar</t>
  </si>
  <si>
    <t>CO2</t>
  </si>
  <si>
    <t>H2O</t>
  </si>
  <si>
    <t>CO</t>
  </si>
  <si>
    <t>CH4</t>
  </si>
  <si>
    <t>NG Pre-treating</t>
  </si>
  <si>
    <t>Desulphurizer, pre-reformer, heat exchange</t>
  </si>
  <si>
    <t>Water Gas Shift train</t>
  </si>
  <si>
    <t>CO2 Cryogenic Purification Unit</t>
  </si>
  <si>
    <t>PSA, Off gas and H2 compression &amp; Auxiliaries</t>
  </si>
  <si>
    <t>U-700</t>
  </si>
  <si>
    <t>Heat Rejection Auxiliaries: Cooling water tower</t>
  </si>
  <si>
    <t>HEX-101</t>
  </si>
  <si>
    <t>HEX-102</t>
  </si>
  <si>
    <t>HEX-103</t>
  </si>
  <si>
    <t>P-101</t>
  </si>
  <si>
    <t>DS-100</t>
  </si>
  <si>
    <t>R-100</t>
  </si>
  <si>
    <t>HEX-104</t>
  </si>
  <si>
    <t>K-301</t>
  </si>
  <si>
    <t>T-301</t>
  </si>
  <si>
    <t>HEX-301</t>
  </si>
  <si>
    <t>P-301</t>
  </si>
  <si>
    <t>D-301</t>
  </si>
  <si>
    <t>HEX-401</t>
  </si>
  <si>
    <t>HEX-402</t>
  </si>
  <si>
    <t>HEX-403</t>
  </si>
  <si>
    <t>P-401</t>
  </si>
  <si>
    <t>V-401</t>
  </si>
  <si>
    <t>PSA Unit</t>
  </si>
  <si>
    <t>K-501</t>
  </si>
  <si>
    <t>K-502</t>
  </si>
  <si>
    <t>HEX-501</t>
  </si>
  <si>
    <t>C-501</t>
  </si>
  <si>
    <t>C-502</t>
  </si>
  <si>
    <t>V-501</t>
  </si>
  <si>
    <t>C-401</t>
  </si>
  <si>
    <t>cond-liq</t>
  </si>
  <si>
    <t>HEX-601</t>
  </si>
  <si>
    <t>HEX-602</t>
  </si>
  <si>
    <t>V-601</t>
  </si>
  <si>
    <t>V-602</t>
  </si>
  <si>
    <t>K-601</t>
  </si>
  <si>
    <t>K-602</t>
  </si>
  <si>
    <t>C-402</t>
  </si>
  <si>
    <t>Item 7</t>
  </si>
  <si>
    <t>https://doi.org/10.1115/GT2006-90353</t>
  </si>
  <si>
    <t>Manzolini [2]</t>
  </si>
  <si>
    <t>Manzolini [1]</t>
  </si>
  <si>
    <t>https://doi.org/10.1016/j.ijggc.2012.06.021</t>
  </si>
  <si>
    <t>Nazir [1]</t>
  </si>
  <si>
    <t>https://doi.org/10.1016/j.energy.2019.07.072</t>
  </si>
  <si>
    <t>https://doi.org/10.1016/j.cej.2008.09.023</t>
  </si>
  <si>
    <t>Hla [1]</t>
  </si>
  <si>
    <t>https://ieaghg.org/docs/General_Docs/Reports/2014-03.pdf</t>
  </si>
  <si>
    <t>https://doi.org/10.1016/j.ijggc.2017.01.014</t>
  </si>
  <si>
    <t>Kolster [1]</t>
  </si>
  <si>
    <t>Nazir [2]</t>
  </si>
  <si>
    <t>https://doi.org/10.1016/j.ijhydene.2020.01.234</t>
  </si>
  <si>
    <t>Cost data for desulphurizer</t>
  </si>
  <si>
    <t>Cost data for pre-reformer</t>
  </si>
  <si>
    <t>GSR Cost assessment</t>
  </si>
  <si>
    <t>WGS Kinetics to determine catalyst volume approximately</t>
  </si>
  <si>
    <t>Cost data for PSA unit</t>
  </si>
  <si>
    <t>CPU Scheme</t>
  </si>
  <si>
    <t>Data for operating &amp; Maintenance Costs</t>
  </si>
  <si>
    <t>Power Cycle</t>
  </si>
  <si>
    <t>Power cycle (Oxidation section)</t>
  </si>
  <si>
    <t>Other contributors</t>
  </si>
  <si>
    <t>Email</t>
  </si>
  <si>
    <t>Issue #</t>
  </si>
  <si>
    <t>Universidad Politécnica de Madrid</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</si>
  <si>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</si>
  <si>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t>June 2021</t>
  </si>
  <si>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</si>
  <si>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t>GPL v3</t>
  </si>
  <si>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</si>
  <si>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</si>
  <si>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</si>
  <si>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</si>
  <si>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</si>
  <si>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</si>
  <si>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</si>
  <si>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</si>
  <si>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</si>
  <si>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t xml:space="preserve">3. In the Plant Overview sheet, make sure the main product (I32:J32), emissions (I52:J52), and fuel input (I71:I72) are correctly specified. These values are automatically transferred to other sheets. </t>
  </si>
  <si>
    <t>4. When doing an analysis with the Equipment unit sheets, it is highly convenient to copy over the appropriate row from the Unit-X00 Equipment sheet for each equipment item. Then, fill in the appropriate capacity and pressure, and select the material.</t>
  </si>
  <si>
    <t>HTS-400 Reactor</t>
  </si>
  <si>
    <t>HTS-400 Shell</t>
  </si>
  <si>
    <t>LTS-400 Reactor</t>
  </si>
  <si>
    <t>LTS-400 Shell</t>
  </si>
  <si>
    <t>Catalyst</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</si>
  <si>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</si>
  <si>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D-501</t>
  </si>
  <si>
    <t>D-502</t>
  </si>
  <si>
    <t>PSA-500</t>
  </si>
  <si>
    <t>CWT-700</t>
  </si>
  <si>
    <t>persons</t>
  </si>
  <si>
    <r>
      <rPr>
        <sz val="11"/>
        <color theme="1"/>
        <rFont val="Calibri"/>
        <family val="2"/>
      </rPr>
      <t>€</t>
    </r>
    <r>
      <rPr>
        <sz val="6.05"/>
        <color theme="1"/>
        <rFont val="Calibri"/>
        <family val="2"/>
      </rPr>
      <t>/p-y</t>
    </r>
  </si>
  <si>
    <t>%TOC</t>
  </si>
  <si>
    <t>https://www.engineeringtoolbox.com/heat-transfer-coefficients-exchangers-d_450.html</t>
  </si>
  <si>
    <t>Coulson &amp; Richardson</t>
  </si>
  <si>
    <t>Sinnott</t>
  </si>
  <si>
    <t>CWT Costs</t>
  </si>
  <si>
    <t>CWT Cost</t>
  </si>
  <si>
    <t>Heat reansfer coefficient estimation</t>
  </si>
  <si>
    <t>EBTF</t>
  </si>
  <si>
    <t>https://zenodo.org/record/1312801#.YMsc5GgzZEY</t>
  </si>
  <si>
    <t>Cost estimations of cooling water twoer as a function of water flow</t>
  </si>
  <si>
    <t>Opexarting costs of process and make up water</t>
  </si>
  <si>
    <t>Adsorbetn Replaced</t>
  </si>
  <si>
    <t>Auxilliary Calculations</t>
  </si>
  <si>
    <t>Spallina</t>
  </si>
  <si>
    <t>Spallina [1]</t>
  </si>
  <si>
    <t>https://doi.org/10.1016/j.enconman.2016.04.073</t>
  </si>
  <si>
    <t>Benchmark PSA cost correlation</t>
  </si>
  <si>
    <t>T-601</t>
  </si>
  <si>
    <t>D-602</t>
  </si>
  <si>
    <t>D-601</t>
  </si>
  <si>
    <t>Estimate</t>
  </si>
  <si>
    <t>Correlated from IEAGHG</t>
  </si>
  <si>
    <r>
      <t>H</t>
    </r>
    <r>
      <rPr>
        <sz val="11"/>
        <color theme="1"/>
        <rFont val="Calibri"/>
        <family val="2"/>
      </rPr>
      <t>₂</t>
    </r>
    <r>
      <rPr>
        <sz val="11"/>
        <color theme="1"/>
        <rFont val="Calibri"/>
        <family val="2"/>
        <scheme val="minor"/>
      </rPr>
      <t xml:space="preserve"> Production</t>
    </r>
  </si>
  <si>
    <r>
      <t>CO</t>
    </r>
    <r>
      <rPr>
        <sz val="11"/>
        <color theme="1"/>
        <rFont val="Calibri"/>
        <family val="2"/>
      </rPr>
      <t>₂</t>
    </r>
    <r>
      <rPr>
        <sz val="11"/>
        <color theme="1"/>
        <rFont val="Calibri"/>
        <family val="2"/>
        <scheme val="minor"/>
      </rPr>
      <t xml:space="preserve"> CPU</t>
    </r>
  </si>
  <si>
    <t>PSA unit</t>
  </si>
  <si>
    <t>BM-1</t>
  </si>
  <si>
    <t>H2 plant assessment</t>
  </si>
  <si>
    <t>Estimate Benchmark Details</t>
  </si>
  <si>
    <t>MJ/kg</t>
  </si>
  <si>
    <t>% of LHV input</t>
  </si>
  <si>
    <t>€/kW of H₂</t>
  </si>
  <si>
    <t>%CAPEX/year</t>
  </si>
  <si>
    <r>
      <rPr>
        <sz val="11"/>
        <color theme="1"/>
        <rFont val="Calibri"/>
        <family val="2"/>
      </rPr>
      <t>η</t>
    </r>
    <r>
      <rPr>
        <sz val="11"/>
        <color theme="1"/>
        <rFont val="Calibri"/>
        <family val="2"/>
        <scheme val="minor"/>
      </rPr>
      <t xml:space="preserve"> El.</t>
    </r>
  </si>
  <si>
    <r>
      <rPr>
        <sz val="11"/>
        <color theme="1"/>
        <rFont val="Calibri"/>
        <family val="2"/>
      </rPr>
      <t>η</t>
    </r>
    <r>
      <rPr>
        <sz val="11"/>
        <color theme="1"/>
        <rFont val="Calibri"/>
        <family val="2"/>
        <scheme val="minor"/>
      </rPr>
      <t xml:space="preserve"> H</t>
    </r>
    <r>
      <rPr>
        <sz val="11"/>
        <color theme="1"/>
        <rFont val="Calibri"/>
        <family val="2"/>
      </rPr>
      <t>₂</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</si>
  <si>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</si>
  <si>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</si>
  <si>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t>Operating hours (h/y)</t>
  </si>
  <si>
    <r>
      <t>E CO</t>
    </r>
    <r>
      <rPr>
        <sz val="11"/>
        <color theme="1"/>
        <rFont val="Calibri"/>
        <family val="2"/>
      </rPr>
      <t>₂</t>
    </r>
  </si>
  <si>
    <r>
      <t>E CO</t>
    </r>
    <r>
      <rPr>
        <sz val="11"/>
        <color theme="1"/>
        <rFont val="Calibri"/>
        <family val="2"/>
      </rPr>
      <t>₂</t>
    </r>
    <r>
      <rPr>
        <sz val="11"/>
        <color theme="1"/>
        <rFont val="Calibri"/>
        <family val="2"/>
        <scheme val="minor"/>
      </rPr>
      <t>,eq</t>
    </r>
  </si>
  <si>
    <r>
      <t>E' CO</t>
    </r>
    <r>
      <rPr>
        <sz val="11"/>
        <color theme="1"/>
        <rFont val="Calibri"/>
        <family val="2"/>
      </rPr>
      <t>₂</t>
    </r>
    <r>
      <rPr>
        <sz val="11"/>
        <color theme="1"/>
        <rFont val="Calibri"/>
        <family val="2"/>
        <scheme val="minor"/>
      </rPr>
      <t>,eq</t>
    </r>
  </si>
  <si>
    <r>
      <t>H</t>
    </r>
    <r>
      <rPr>
        <sz val="11"/>
        <color theme="1"/>
        <rFont val="Calibri"/>
        <family val="2"/>
      </rPr>
      <t>₂</t>
    </r>
  </si>
  <si>
    <r>
      <t>H</t>
    </r>
    <r>
      <rPr>
        <sz val="11"/>
        <color theme="1"/>
        <rFont val="Calibri"/>
        <family val="2"/>
      </rPr>
      <t>₂</t>
    </r>
    <r>
      <rPr>
        <sz val="11"/>
        <color theme="1"/>
        <rFont val="Calibri"/>
        <family val="2"/>
        <scheme val="minor"/>
      </rPr>
      <t xml:space="preserve"> compressor</t>
    </r>
  </si>
  <si>
    <r>
      <t>CO</t>
    </r>
    <r>
      <rPr>
        <sz val="11"/>
        <color theme="1"/>
        <rFont val="Calibri"/>
        <family val="2"/>
      </rPr>
      <t>₂</t>
    </r>
    <r>
      <rPr>
        <sz val="11"/>
        <color theme="1"/>
        <rFont val="Calibri"/>
        <family val="2"/>
        <scheme val="minor"/>
      </rPr>
      <t xml:space="preserve"> pump</t>
    </r>
  </si>
  <si>
    <r>
      <t>H</t>
    </r>
    <r>
      <rPr>
        <sz val="11"/>
        <color theme="1"/>
        <rFont val="Calibri"/>
        <family val="2"/>
      </rPr>
      <t>₂</t>
    </r>
    <r>
      <rPr>
        <sz val="11"/>
        <color theme="1"/>
        <rFont val="Calibri"/>
        <family val="2"/>
        <scheme val="minor"/>
      </rPr>
      <t>O pumps</t>
    </r>
  </si>
  <si>
    <r>
      <t>N</t>
    </r>
    <r>
      <rPr>
        <sz val="11"/>
        <color theme="1"/>
        <rFont val="Calibri"/>
        <family val="2"/>
      </rPr>
      <t>₂</t>
    </r>
    <r>
      <rPr>
        <sz val="11"/>
        <color theme="1"/>
        <rFont val="Calibri"/>
        <family val="2"/>
        <scheme val="minor"/>
      </rPr>
      <t xml:space="preserve"> turbine</t>
    </r>
  </si>
  <si>
    <r>
      <t>H</t>
    </r>
    <r>
      <rPr>
        <sz val="11"/>
        <color theme="1"/>
        <rFont val="Calibri"/>
        <family val="2"/>
      </rPr>
      <t>₂</t>
    </r>
    <r>
      <rPr>
        <sz val="11"/>
        <color theme="1"/>
        <rFont val="Calibri"/>
        <family val="2"/>
        <scheme val="minor"/>
      </rPr>
      <t xml:space="preserve"> LHV</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</si>
  <si>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</si>
  <si>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</si>
  <si>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</si>
  <si>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t xml:space="preserve">SSM </t>
  </si>
  <si>
    <r>
      <t xml:space="preserve"> GSR-H</t>
    </r>
    <r>
      <rPr>
        <sz val="11"/>
        <color theme="1"/>
        <rFont val="Calibri"/>
        <family val="2"/>
      </rPr>
      <t>₂</t>
    </r>
    <r>
      <rPr>
        <sz val="11"/>
        <color theme="1"/>
        <rFont val="Calibri"/>
        <family val="2"/>
        <scheme val="minor"/>
      </rPr>
      <t xml:space="preserve"> plant with N</t>
    </r>
    <r>
      <rPr>
        <sz val="11"/>
        <color theme="1"/>
        <rFont val="Calibri"/>
        <family val="2"/>
      </rPr>
      <t>₂</t>
    </r>
    <r>
      <rPr>
        <sz val="11"/>
        <color theme="1"/>
        <rFont val="Calibri"/>
        <family val="2"/>
        <scheme val="minor"/>
      </rPr>
      <t xml:space="preserve"> Turbine</t>
    </r>
  </si>
  <si>
    <t>Capital Cost Estimation</t>
  </si>
  <si>
    <t>Fixed &amp; Variable O&amp;M Costs</t>
  </si>
  <si>
    <t xml:space="preserve">Cash Flow Analysis </t>
  </si>
  <si>
    <t>Estimate Benchmark</t>
  </si>
  <si>
    <t xml:space="preserve"> Input to SSM</t>
  </si>
  <si>
    <r>
      <t>GSR-H2 plant with N</t>
    </r>
    <r>
      <rPr>
        <sz val="11"/>
        <color theme="1"/>
        <rFont val="Calibri"/>
        <family val="2"/>
      </rPr>
      <t>₂</t>
    </r>
    <r>
      <rPr>
        <sz val="11"/>
        <color theme="1"/>
        <rFont val="Calibri"/>
        <family val="2"/>
        <scheme val="minor"/>
      </rPr>
      <t xml:space="preserve"> turbine and CO</t>
    </r>
    <r>
      <rPr>
        <sz val="11"/>
        <color theme="1"/>
        <rFont val="Calibri"/>
        <family val="2"/>
      </rPr>
      <t>₂</t>
    </r>
    <r>
      <rPr>
        <sz val="11"/>
        <color theme="1"/>
        <rFont val="Calibri"/>
        <family val="2"/>
        <scheme val="minor"/>
      </rPr>
      <t xml:space="preserve"> CPU</t>
    </r>
  </si>
  <si>
    <r>
      <t>E CO</t>
    </r>
    <r>
      <rPr>
        <sz val="11"/>
        <color theme="1"/>
        <rFont val="Calibri"/>
        <family val="2"/>
      </rPr>
      <t>₂</t>
    </r>
    <r>
      <rPr>
        <sz val="11"/>
        <color theme="1"/>
        <rFont val="Calibri"/>
        <family val="2"/>
        <scheme val="minor"/>
      </rPr>
      <t>,ref</t>
    </r>
  </si>
  <si>
    <r>
      <t>E eq CO</t>
    </r>
    <r>
      <rPr>
        <sz val="11"/>
        <color theme="1"/>
        <rFont val="Calibri"/>
        <family val="2"/>
      </rPr>
      <t>₂</t>
    </r>
    <r>
      <rPr>
        <sz val="11"/>
        <color theme="1"/>
        <rFont val="Calibri"/>
        <family val="2"/>
        <scheme val="minor"/>
      </rPr>
      <t>, ref</t>
    </r>
  </si>
  <si>
    <r>
      <t>E 'eq CO</t>
    </r>
    <r>
      <rPr>
        <sz val="11"/>
        <color theme="1"/>
        <rFont val="Calibri"/>
        <family val="2"/>
      </rPr>
      <t>₂</t>
    </r>
    <r>
      <rPr>
        <sz val="11"/>
        <color theme="1"/>
        <rFont val="Calibri"/>
        <family val="2"/>
        <scheme val="minor"/>
      </rPr>
      <t>, ref</t>
    </r>
  </si>
  <si>
    <r>
      <t>CO</t>
    </r>
    <r>
      <rPr>
        <b/>
        <sz val="11"/>
        <color theme="1"/>
        <rFont val="Calibri"/>
        <family val="2"/>
      </rPr>
      <t>₂</t>
    </r>
    <r>
      <rPr>
        <b/>
        <sz val="11"/>
        <color theme="1"/>
        <rFont val="Calibri"/>
        <family val="2"/>
        <scheme val="minor"/>
      </rPr>
      <t xml:space="preserve"> Emissions</t>
    </r>
  </si>
  <si>
    <t>€/MWh of H₂</t>
  </si>
  <si>
    <r>
      <t>GSR-H</t>
    </r>
    <r>
      <rPr>
        <sz val="11"/>
        <color theme="1"/>
        <rFont val="Calibri"/>
        <family val="2"/>
      </rPr>
      <t>₂</t>
    </r>
    <r>
      <rPr>
        <sz val="11"/>
        <color theme="1"/>
        <rFont val="Calibri"/>
        <family val="2"/>
        <scheme val="minor"/>
      </rPr>
      <t xml:space="preserve"> </t>
    </r>
  </si>
  <si>
    <t>Carlos Arnaiz del Pozo, Schalk Cloete, and Ángel Jiménez Álvaro. Standard Economic Assessment (SEA) Tool. Available from: https://bit.ly/3hyF1TT</t>
  </si>
  <si>
    <t>Sensitivity Analysis</t>
  </si>
  <si>
    <t>Ind. Var</t>
  </si>
  <si>
    <t>Man. Var.</t>
  </si>
  <si>
    <t>Ind. Var.</t>
  </si>
  <si>
    <t>Man. Var</t>
  </si>
  <si>
    <t>Base</t>
  </si>
  <si>
    <t>Increment</t>
  </si>
  <si>
    <t>SENSITIVITY</t>
  </si>
  <si>
    <t>NG price</t>
  </si>
  <si>
    <t>Units - Man.</t>
  </si>
  <si>
    <t>Units - Ind.</t>
  </si>
  <si>
    <r>
      <rPr>
        <sz val="11"/>
        <rFont val="Calibri"/>
        <family val="2"/>
      </rPr>
      <t>€</t>
    </r>
    <r>
      <rPr>
        <sz val="7.7"/>
        <rFont val="Calibri"/>
        <family val="2"/>
      </rPr>
      <t>/kg</t>
    </r>
  </si>
  <si>
    <r>
      <rPr>
        <sz val="11"/>
        <rFont val="Calibri"/>
        <family val="2"/>
      </rPr>
      <t>€</t>
    </r>
    <r>
      <rPr>
        <sz val="7.7"/>
        <rFont val="Calibri"/>
        <family val="2"/>
      </rPr>
      <t>/GJ</t>
    </r>
  </si>
  <si>
    <t>nº of points</t>
  </si>
  <si>
    <t>Initial</t>
  </si>
  <si>
    <r>
      <rPr>
        <sz val="11"/>
        <rFont val="Calibri"/>
        <family val="2"/>
      </rPr>
      <t>€</t>
    </r>
    <r>
      <rPr>
        <sz val="7.7"/>
        <rFont val="Calibri"/>
        <family val="2"/>
      </rPr>
      <t>/MWh</t>
    </r>
  </si>
  <si>
    <t>Update manually or click below</t>
  </si>
  <si>
    <t>1.3</t>
  </si>
  <si>
    <t>SEA Tool v1.3
Licensed under GPL v3 - a copyleft license that allows free use and modification as long as any derivatives are shared under the same license.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</si>
</sst>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s>
  <fonts count="86"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sz val="6.05"/>
      <color theme="1"/>
      <name val="Calibri"/>
      <family val="2"/>
    </font>
    <font>
      <sz val="10"/>
      <color theme="1"/>
      <name val="Calibri"/>
      <family val="2"/>
      <scheme val="minor"/>
    </font>
    <font>
      <b/>
      <sz val="10"/>
      <color theme="1"/>
      <name val="Calibri"/>
      <family val="2"/>
      <scheme val="minor"/>
    </font>
    <font>
      <u/>
      <sz val="9"/>
      <color theme="10"/>
      <name val="Calibri"/>
      <family val="2"/>
      <scheme val="minor"/>
    </font>
    <font>
      <sz val="10"/>
      <color rgb="FFFF0000"/>
      <name val="Arial"/>
      <family val="2"/>
    </font>
    <font>
      <b/>
      <sz val="16"/>
      <color rgb="FF000000"/>
      <name val="Calibri"/>
      <family val="2"/>
    </font>
    <font>
      <b/>
      <sz val="10"/>
      <color rgb="FF000000"/>
      <name val="Calibri"/>
      <family val="2"/>
    </font>
    <font>
      <b/>
      <sz val="14"/>
      <color rgb="FFFF0000"/>
      <name val="Calibri"/>
      <family val="2"/>
      <scheme val="minor"/>
    </font>
    <font>
      <sz val="11"/>
      <name val="Calibri"/>
      <family val="2"/>
    </font>
    <font>
      <sz val="7.7"/>
      <name val="Calibri"/>
      <family val="2"/>
    </font>
    <font>
      <b/>
      <sz val="26"/>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right style="hair">
        <color indexed="64"/>
      </right>
      <top/>
      <bottom style="hair">
        <color indexed="64"/>
      </bottom>
      <diagonal/>
    </border>
    <border>
      <left/>
      <right style="hair">
        <color indexed="64"/>
      </right>
      <top style="hair">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334">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2" borderId="8" xfId="0" applyFill="1" applyBorder="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166" fontId="0" fillId="0" borderId="0" xfId="0" applyNumberFormat="1"/>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49" fontId="0" fillId="0" borderId="0" xfId="0" applyNumberFormat="1"/>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4" xfId="0"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2"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168" fontId="0" fillId="0" borderId="7" xfId="0" applyNumberFormat="1" applyFont="1" applyBorder="1" applyAlignment="1">
      <alignment horizontal="center" vertical="center"/>
    </xf>
    <xf numFmtId="168" fontId="0" fillId="0" borderId="10" xfId="0" applyNumberFormat="1" applyFont="1" applyBorder="1" applyAlignment="1">
      <alignment horizontal="center" vertical="center"/>
    </xf>
    <xf numFmtId="168" fontId="0" fillId="0" borderId="13" xfId="0" applyNumberFormat="1" applyFont="1" applyBorder="1" applyAlignment="1">
      <alignment horizontal="center" vertical="center"/>
    </xf>
    <xf numFmtId="0" fontId="0" fillId="2" borderId="9" xfId="0" applyFill="1" applyBorder="1" applyAlignment="1">
      <alignment horizontal="center" vertical="center"/>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2"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15" xfId="0" applyBorder="1" applyAlignment="1">
      <alignment horizontal="center"/>
    </xf>
    <xf numFmtId="0" fontId="0" fillId="0" borderId="14" xfId="0" applyBorder="1" applyAlignment="1">
      <alignment horizontal="center"/>
    </xf>
    <xf numFmtId="0" fontId="0" fillId="0" borderId="0" xfId="0" applyBorder="1" applyAlignment="1">
      <alignment horizontal="center" vertical="center"/>
    </xf>
    <xf numFmtId="0" fontId="0" fillId="0" borderId="10" xfId="0"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1" fillId="0" borderId="1" xfId="0" applyFont="1" applyBorder="1" applyAlignment="1">
      <alignment horizontal="center" vertical="center"/>
    </xf>
    <xf numFmtId="0" fontId="1" fillId="0" borderId="3" xfId="0" applyFont="1" applyBorder="1" applyAlignment="1">
      <alignment horizontal="center" vertical="center"/>
    </xf>
    <xf numFmtId="0" fontId="1" fillId="2" borderId="0" xfId="0" applyFont="1"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 fillId="2" borderId="0" xfId="0" applyFont="1" applyFill="1" applyBorder="1" applyAlignment="1">
      <alignment horizontal="center"/>
    </xf>
    <xf numFmtId="0" fontId="11" fillId="0" borderId="5" xfId="0" applyFont="1" applyBorder="1" applyAlignment="1">
      <alignment horizontal="center" vertical="center"/>
    </xf>
    <xf numFmtId="0" fontId="0" fillId="2" borderId="9" xfId="0" applyFont="1" applyFill="1" applyBorder="1" applyAlignment="1">
      <alignment horizontal="center" vertical="center"/>
    </xf>
    <xf numFmtId="2" fontId="0" fillId="0" borderId="10" xfId="0" applyNumberFormat="1" applyFont="1" applyBorder="1" applyAlignment="1">
      <alignment horizontal="center" vertical="center"/>
    </xf>
    <xf numFmtId="2" fontId="15" fillId="0" borderId="10" xfId="8" applyNumberFormat="1" applyFont="1" applyBorder="1" applyAlignment="1">
      <alignment horizontal="center" vertical="center"/>
    </xf>
    <xf numFmtId="2" fontId="0" fillId="0" borderId="13" xfId="0" applyNumberFormat="1" applyFont="1" applyBorder="1" applyAlignment="1">
      <alignment horizontal="center" vertical="center"/>
    </xf>
    <xf numFmtId="0" fontId="0" fillId="2" borderId="4" xfId="0" applyFont="1" applyFill="1" applyBorder="1" applyAlignment="1">
      <alignment horizontal="center" vertical="center"/>
    </xf>
    <xf numFmtId="2" fontId="0" fillId="2" borderId="15" xfId="0" applyNumberFormat="1" applyFont="1" applyFill="1" applyBorder="1" applyAlignment="1">
      <alignment horizontal="center" vertical="center"/>
    </xf>
    <xf numFmtId="2" fontId="0" fillId="2" borderId="8" xfId="0" applyNumberFormat="1" applyFont="1" applyFill="1" applyBorder="1" applyAlignment="1">
      <alignment horizontal="center" vertical="center"/>
    </xf>
    <xf numFmtId="2" fontId="0" fillId="2" borderId="4" xfId="0" applyNumberFormat="1" applyFont="1" applyFill="1" applyBorder="1" applyAlignment="1">
      <alignment horizontal="center" vertical="center"/>
    </xf>
    <xf numFmtId="0" fontId="0" fillId="0" borderId="13" xfId="0" applyFont="1" applyBorder="1" applyAlignment="1">
      <alignment horizontal="center" vertical="center"/>
    </xf>
    <xf numFmtId="0" fontId="0" fillId="0" borderId="9" xfId="0" applyFont="1" applyFill="1" applyBorder="1" applyAlignment="1">
      <alignment horizontal="center" vertical="center"/>
    </xf>
    <xf numFmtId="0" fontId="0" fillId="0" borderId="11" xfId="0" applyFont="1" applyFill="1" applyBorder="1" applyAlignment="1">
      <alignment horizontal="center" vertical="center"/>
    </xf>
    <xf numFmtId="166" fontId="0" fillId="0" borderId="7" xfId="0" applyNumberFormat="1" applyFont="1" applyFill="1" applyBorder="1" applyAlignment="1">
      <alignment horizontal="center" vertical="center"/>
    </xf>
    <xf numFmtId="10" fontId="0" fillId="0" borderId="13" xfId="0" applyNumberFormat="1" applyFont="1" applyFill="1" applyBorder="1" applyAlignment="1">
      <alignment horizontal="center" vertical="center"/>
    </xf>
    <xf numFmtId="10" fontId="0" fillId="0" borderId="10" xfId="0" applyNumberFormat="1" applyBorder="1" applyAlignment="1">
      <alignment horizontal="center" vertical="center"/>
    </xf>
    <xf numFmtId="0" fontId="0" fillId="0" borderId="10" xfId="0" applyFont="1" applyBorder="1" applyAlignment="1">
      <alignment horizontal="center" vertical="center"/>
    </xf>
    <xf numFmtId="168" fontId="0" fillId="0" borderId="10" xfId="0" applyNumberFormat="1" applyFont="1" applyFill="1" applyBorder="1" applyAlignment="1">
      <alignment horizontal="center" vertical="center"/>
    </xf>
    <xf numFmtId="168" fontId="0" fillId="0" borderId="13" xfId="0" applyNumberFormat="1" applyFont="1" applyFill="1" applyBorder="1" applyAlignment="1">
      <alignment horizontal="center" vertical="center"/>
    </xf>
    <xf numFmtId="166" fontId="1" fillId="0" borderId="3" xfId="0" applyNumberFormat="1" applyFont="1" applyFill="1" applyBorder="1" applyAlignment="1">
      <alignment horizontal="center" vertical="center"/>
    </xf>
    <xf numFmtId="171" fontId="0" fillId="0" borderId="10" xfId="8" applyNumberFormat="1" applyFont="1" applyFill="1" applyBorder="1" applyAlignment="1">
      <alignment horizontal="center" vertical="center"/>
    </xf>
    <xf numFmtId="171" fontId="0" fillId="0" borderId="13" xfId="8" applyNumberFormat="1" applyFont="1" applyFill="1" applyBorder="1" applyAlignment="1">
      <alignment horizontal="center" vertical="center"/>
    </xf>
    <xf numFmtId="168" fontId="0" fillId="0" borderId="4" xfId="0" applyNumberFormat="1" applyFill="1" applyBorder="1" applyAlignment="1">
      <alignment horizontal="center" vertical="center"/>
    </xf>
    <xf numFmtId="0" fontId="1" fillId="0" borderId="1" xfId="0" applyFont="1" applyFill="1" applyBorder="1" applyAlignment="1">
      <alignment horizontal="center" vertical="center"/>
    </xf>
    <xf numFmtId="171" fontId="0" fillId="2" borderId="7" xfId="8" applyNumberFormat="1" applyFont="1" applyFill="1" applyBorder="1" applyAlignment="1">
      <alignment horizontal="center" vertical="center"/>
    </xf>
    <xf numFmtId="171" fontId="0" fillId="2" borderId="10" xfId="8" applyNumberFormat="1" applyFont="1" applyFill="1" applyBorder="1" applyAlignment="1">
      <alignment horizontal="center" vertical="center"/>
    </xf>
    <xf numFmtId="166" fontId="1" fillId="2" borderId="3" xfId="0" applyNumberFormat="1" applyFont="1" applyFill="1" applyBorder="1" applyAlignment="1">
      <alignment horizontal="center" vertical="center"/>
    </xf>
    <xf numFmtId="0" fontId="1" fillId="0" borderId="7" xfId="0" applyFont="1" applyFill="1" applyBorder="1" applyAlignment="1">
      <alignment horizontal="center" vertical="center"/>
    </xf>
    <xf numFmtId="2" fontId="0" fillId="0" borderId="10" xfId="0" applyNumberFormat="1" applyFont="1" applyFill="1" applyBorder="1" applyAlignment="1">
      <alignment horizontal="center" vertical="center"/>
    </xf>
    <xf numFmtId="2" fontId="0" fillId="0" borderId="4" xfId="0" applyNumberFormat="1" applyFont="1" applyFill="1" applyBorder="1" applyAlignment="1">
      <alignment horizontal="center" vertical="center"/>
    </xf>
    <xf numFmtId="2" fontId="0" fillId="0" borderId="4" xfId="0" applyNumberFormat="1" applyFill="1" applyBorder="1" applyAlignment="1">
      <alignment horizontal="center" vertical="center"/>
    </xf>
    <xf numFmtId="0" fontId="0" fillId="2" borderId="4" xfId="0" applyFill="1" applyBorder="1" applyAlignment="1">
      <alignment horizontal="center" vertical="center"/>
    </xf>
    <xf numFmtId="0" fontId="2" fillId="0" borderId="5" xfId="1" applyBorder="1" applyAlignment="1">
      <alignment horizontal="center" vertical="center"/>
    </xf>
    <xf numFmtId="0" fontId="2" fillId="0" borderId="6" xfId="1" applyBorder="1" applyAlignment="1">
      <alignment horizontal="center" vertical="center"/>
    </xf>
    <xf numFmtId="0" fontId="2" fillId="0" borderId="7" xfId="1" applyBorder="1" applyAlignment="1">
      <alignment horizontal="center" vertical="center"/>
    </xf>
    <xf numFmtId="0" fontId="2" fillId="0" borderId="9" xfId="1" applyBorder="1" applyAlignment="1">
      <alignment horizontal="center" vertical="center"/>
    </xf>
    <xf numFmtId="0" fontId="2" fillId="0" borderId="10" xfId="1" applyBorder="1" applyAlignment="1">
      <alignment horizontal="center" vertical="center"/>
    </xf>
    <xf numFmtId="0" fontId="2" fillId="0" borderId="11" xfId="1" applyBorder="1" applyAlignment="1">
      <alignment horizontal="center" vertical="center"/>
    </xf>
    <xf numFmtId="166" fontId="2" fillId="0" borderId="12" xfId="1" applyNumberFormat="1" applyBorder="1" applyAlignment="1">
      <alignment horizontal="center" vertical="center"/>
    </xf>
    <xf numFmtId="0" fontId="2" fillId="0" borderId="13" xfId="1" applyBorder="1" applyAlignment="1">
      <alignment horizontal="center" vertical="center"/>
    </xf>
    <xf numFmtId="0" fontId="2" fillId="0" borderId="0" xfId="1" applyBorder="1" applyAlignment="1">
      <alignment horizontal="center" vertical="center"/>
    </xf>
    <xf numFmtId="166" fontId="2" fillId="0" borderId="0" xfId="1" applyNumberFormat="1" applyBorder="1" applyAlignment="1">
      <alignment horizontal="center" vertical="center"/>
    </xf>
    <xf numFmtId="0" fontId="0" fillId="2" borderId="13" xfId="0" applyFill="1" applyBorder="1" applyAlignment="1">
      <alignment horizontal="center" vertical="center"/>
    </xf>
    <xf numFmtId="2" fontId="2" fillId="0" borderId="0" xfId="1" applyNumberFormat="1" applyBorder="1" applyAlignment="1">
      <alignment horizontal="center" vertical="center"/>
    </xf>
    <xf numFmtId="0" fontId="2" fillId="0" borderId="9" xfId="1" applyFill="1" applyBorder="1" applyAlignment="1">
      <alignment horizontal="center" vertical="center"/>
    </xf>
    <xf numFmtId="166" fontId="2" fillId="0" borderId="6" xfId="1" applyNumberFormat="1" applyBorder="1" applyAlignment="1">
      <alignment horizontal="center" vertical="center"/>
    </xf>
    <xf numFmtId="165" fontId="0" fillId="0" borderId="0" xfId="0" applyNumberFormat="1" applyBorder="1" applyAlignment="1">
      <alignment horizontal="center" vertical="center"/>
    </xf>
    <xf numFmtId="1" fontId="0" fillId="0" borderId="6" xfId="0" applyNumberFormat="1" applyBorder="1" applyAlignment="1">
      <alignment horizontal="center" vertical="center"/>
    </xf>
    <xf numFmtId="166" fontId="2" fillId="0" borderId="0" xfId="1" applyNumberFormat="1" applyFill="1" applyBorder="1" applyAlignment="1">
      <alignment horizontal="center" vertical="center"/>
    </xf>
    <xf numFmtId="0" fontId="2" fillId="0" borderId="10" xfId="1" applyFill="1" applyBorder="1" applyAlignment="1">
      <alignment horizontal="center" vertical="center"/>
    </xf>
    <xf numFmtId="0" fontId="77" fillId="0" borderId="0" xfId="1" applyFont="1" applyBorder="1" applyAlignment="1"/>
    <xf numFmtId="166" fontId="21" fillId="0" borderId="0" xfId="0" applyNumberFormat="1" applyFont="1" applyBorder="1" applyAlignment="1">
      <alignment horizontal="center" vertical="center"/>
    </xf>
    <xf numFmtId="2" fontId="21" fillId="0" borderId="10" xfId="0" applyNumberFormat="1" applyFont="1" applyBorder="1" applyAlignment="1">
      <alignment horizontal="center" vertical="center"/>
    </xf>
    <xf numFmtId="0" fontId="21" fillId="0" borderId="12" xfId="0" applyFont="1" applyBorder="1" applyAlignment="1">
      <alignment horizontal="center" vertical="center"/>
    </xf>
    <xf numFmtId="0" fontId="21" fillId="0" borderId="9" xfId="0" applyFont="1" applyBorder="1" applyAlignment="1">
      <alignment horizontal="center" vertical="center"/>
    </xf>
    <xf numFmtId="0" fontId="21" fillId="0" borderId="0" xfId="0" applyFont="1" applyBorder="1" applyAlignment="1">
      <alignment horizontal="center" vertical="center"/>
    </xf>
    <xf numFmtId="0" fontId="0" fillId="2" borderId="5" xfId="0" applyFill="1" applyBorder="1" applyAlignment="1">
      <alignment horizontal="center" vertical="center"/>
    </xf>
    <xf numFmtId="0" fontId="76" fillId="2" borderId="6" xfId="0" applyFont="1" applyFill="1" applyBorder="1" applyAlignment="1">
      <alignment horizontal="center" vertical="center"/>
    </xf>
    <xf numFmtId="0" fontId="0" fillId="2" borderId="7" xfId="0" applyFill="1"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xf>
    <xf numFmtId="0" fontId="19" fillId="2" borderId="15" xfId="0" applyFont="1" applyFill="1" applyBorder="1" applyAlignment="1">
      <alignment horizontal="center" vertical="center"/>
    </xf>
    <xf numFmtId="0" fontId="0" fillId="2" borderId="6" xfId="0" applyFill="1" applyBorder="1" applyAlignment="1">
      <alignment horizontal="center"/>
    </xf>
    <xf numFmtId="0" fontId="19" fillId="2" borderId="7" xfId="0" applyFont="1" applyFill="1" applyBorder="1" applyAlignment="1">
      <alignment horizontal="center" vertical="center"/>
    </xf>
    <xf numFmtId="0" fontId="0" fillId="2" borderId="0" xfId="0" applyFill="1" applyBorder="1" applyAlignment="1">
      <alignment horizontal="center"/>
    </xf>
    <xf numFmtId="166" fontId="0" fillId="2" borderId="0" xfId="0" applyNumberFormat="1" applyFill="1" applyBorder="1" applyAlignment="1">
      <alignment horizontal="center"/>
    </xf>
    <xf numFmtId="1" fontId="0" fillId="2" borderId="0" xfId="0" applyNumberFormat="1" applyFill="1" applyBorder="1" applyAlignment="1">
      <alignment horizontal="center"/>
    </xf>
    <xf numFmtId="166" fontId="0" fillId="2" borderId="6" xfId="0" applyNumberFormat="1" applyFill="1" applyBorder="1" applyAlignment="1">
      <alignment horizontal="center"/>
    </xf>
    <xf numFmtId="1" fontId="0" fillId="2" borderId="6" xfId="0" applyNumberFormat="1" applyFill="1" applyBorder="1" applyAlignment="1">
      <alignment horizontal="center"/>
    </xf>
    <xf numFmtId="1" fontId="0" fillId="2" borderId="7" xfId="0" applyNumberFormat="1" applyFill="1" applyBorder="1" applyAlignment="1">
      <alignment horizontal="center"/>
    </xf>
    <xf numFmtId="1" fontId="0" fillId="2" borderId="10" xfId="0" applyNumberFormat="1" applyFill="1" applyBorder="1" applyAlignment="1">
      <alignment horizontal="center" vertical="center"/>
    </xf>
    <xf numFmtId="1" fontId="0" fillId="2" borderId="10" xfId="0" applyNumberFormat="1" applyFill="1" applyBorder="1" applyAlignment="1">
      <alignment horizontal="center"/>
    </xf>
    <xf numFmtId="166" fontId="0" fillId="2" borderId="12" xfId="0" applyNumberFormat="1" applyFill="1" applyBorder="1" applyAlignment="1">
      <alignment horizontal="center"/>
    </xf>
    <xf numFmtId="1" fontId="0" fillId="2" borderId="12" xfId="0" applyNumberFormat="1" applyFill="1" applyBorder="1" applyAlignment="1">
      <alignment horizontal="center"/>
    </xf>
    <xf numFmtId="0" fontId="19" fillId="2" borderId="5" xfId="0" applyFont="1" applyFill="1" applyBorder="1" applyAlignment="1">
      <alignment horizontal="center" vertical="center"/>
    </xf>
    <xf numFmtId="166" fontId="0" fillId="2" borderId="10" xfId="0" applyNumberFormat="1" applyFill="1" applyBorder="1" applyAlignment="1">
      <alignment horizontal="center" vertical="center"/>
    </xf>
    <xf numFmtId="9" fontId="0" fillId="0" borderId="8" xfId="0" applyNumberFormat="1" applyBorder="1" applyAlignment="1">
      <alignment horizontal="center" vertical="center"/>
    </xf>
    <xf numFmtId="9" fontId="0" fillId="0" borderId="10" xfId="0" applyNumberFormat="1" applyBorder="1" applyAlignment="1">
      <alignment horizontal="center" vertical="center"/>
    </xf>
    <xf numFmtId="0" fontId="0" fillId="2" borderId="14" xfId="0" applyFill="1" applyBorder="1" applyAlignment="1">
      <alignment horizontal="center" vertical="center"/>
    </xf>
    <xf numFmtId="2" fontId="0" fillId="0" borderId="4" xfId="0" applyNumberFormat="1" applyBorder="1" applyAlignment="1">
      <alignment horizontal="center" vertical="center"/>
    </xf>
    <xf numFmtId="166" fontId="0" fillId="2" borderId="4" xfId="0" applyNumberFormat="1" applyFill="1" applyBorder="1" applyAlignment="1">
      <alignment horizontal="center" vertical="center"/>
    </xf>
    <xf numFmtId="2" fontId="0" fillId="0" borderId="7" xfId="0" applyNumberFormat="1" applyFont="1" applyBorder="1" applyAlignment="1">
      <alignment horizontal="center" vertical="center"/>
    </xf>
    <xf numFmtId="10" fontId="0" fillId="0" borderId="10" xfId="8" applyNumberFormat="1" applyFont="1" applyFill="1" applyBorder="1" applyAlignment="1">
      <alignment horizontal="center" vertical="center"/>
    </xf>
    <xf numFmtId="0" fontId="12" fillId="2" borderId="4" xfId="0" applyFont="1" applyFill="1" applyBorder="1" applyAlignment="1">
      <alignment horizontal="center" vertical="center"/>
    </xf>
    <xf numFmtId="2" fontId="0" fillId="2" borderId="4" xfId="0" applyNumberFormat="1" applyFill="1" applyBorder="1" applyAlignment="1">
      <alignment horizontal="center" vertical="center"/>
    </xf>
    <xf numFmtId="2" fontId="12" fillId="2" borderId="4" xfId="0" applyNumberFormat="1" applyFont="1" applyFill="1" applyBorder="1" applyAlignment="1">
      <alignment horizontal="center" vertical="center"/>
    </xf>
    <xf numFmtId="0" fontId="10" fillId="5" borderId="3" xfId="0" applyFont="1" applyFill="1" applyBorder="1" applyAlignment="1">
      <alignment horizontal="center" vertical="center"/>
    </xf>
    <xf numFmtId="166" fontId="0" fillId="2" borderId="6" xfId="0" applyNumberFormat="1" applyFill="1" applyBorder="1" applyAlignment="1">
      <alignment horizontal="center" vertical="center"/>
    </xf>
    <xf numFmtId="0" fontId="0" fillId="2" borderId="6" xfId="0" applyFill="1" applyBorder="1" applyAlignment="1">
      <alignment horizontal="center" vertical="center"/>
    </xf>
    <xf numFmtId="1" fontId="0" fillId="2" borderId="6" xfId="0" applyNumberFormat="1" applyFill="1" applyBorder="1" applyAlignment="1">
      <alignment horizontal="center" vertical="center"/>
    </xf>
    <xf numFmtId="1" fontId="0" fillId="2" borderId="7" xfId="0" applyNumberFormat="1" applyFill="1" applyBorder="1" applyAlignment="1">
      <alignment horizontal="center" vertical="center"/>
    </xf>
    <xf numFmtId="166" fontId="0" fillId="2" borderId="12" xfId="0" applyNumberFormat="1" applyFill="1" applyBorder="1" applyAlignment="1">
      <alignment horizontal="center" vertical="center"/>
    </xf>
    <xf numFmtId="1" fontId="0" fillId="2" borderId="12" xfId="0" applyNumberFormat="1" applyFill="1" applyBorder="1" applyAlignment="1">
      <alignment horizontal="center" vertical="center"/>
    </xf>
    <xf numFmtId="1" fontId="0" fillId="2" borderId="13" xfId="0" applyNumberFormat="1" applyFill="1" applyBorder="1" applyAlignment="1">
      <alignment horizontal="center" vertical="center"/>
    </xf>
    <xf numFmtId="0" fontId="59" fillId="3" borderId="14" xfId="0" applyFont="1" applyFill="1" applyBorder="1" applyAlignment="1">
      <alignment horizontal="center" vertical="center" wrapText="1"/>
    </xf>
    <xf numFmtId="0" fontId="20" fillId="0" borderId="0" xfId="0" applyFont="1" applyBorder="1" applyAlignment="1">
      <alignment horizontal="center" vertical="center"/>
    </xf>
    <xf numFmtId="0" fontId="34" fillId="0" borderId="0" xfId="0" applyFont="1" applyBorder="1" applyAlignment="1">
      <alignment horizontal="center" vertical="center"/>
    </xf>
    <xf numFmtId="0" fontId="0" fillId="0" borderId="0" xfId="0" applyBorder="1" applyAlignment="1"/>
    <xf numFmtId="9" fontId="0" fillId="0" borderId="0" xfId="8" applyFont="1" applyBorder="1" applyAlignment="1">
      <alignment horizontal="center" vertical="center"/>
    </xf>
    <xf numFmtId="171" fontId="0" fillId="0" borderId="0" xfId="8" applyNumberFormat="1" applyFont="1" applyBorder="1" applyAlignment="1">
      <alignment horizontal="center" vertical="center"/>
    </xf>
    <xf numFmtId="2" fontId="23" fillId="0" borderId="0" xfId="0" applyNumberFormat="1" applyFont="1" applyBorder="1" applyAlignment="1">
      <alignment horizontal="center" vertical="center"/>
    </xf>
    <xf numFmtId="2" fontId="23" fillId="2" borderId="0" xfId="0" applyNumberFormat="1" applyFont="1" applyFill="1" applyBorder="1" applyAlignment="1">
      <alignment vertical="center"/>
    </xf>
    <xf numFmtId="2" fontId="23" fillId="0" borderId="0" xfId="0" applyNumberFormat="1" applyFont="1" applyBorder="1" applyAlignment="1">
      <alignment vertical="center"/>
    </xf>
    <xf numFmtId="2" fontId="23" fillId="0" borderId="10" xfId="0" applyNumberFormat="1" applyFont="1" applyBorder="1" applyAlignment="1">
      <alignment vertical="center"/>
    </xf>
    <xf numFmtId="166" fontId="0" fillId="0" borderId="8" xfId="0" applyNumberFormat="1" applyFont="1" applyBorder="1" applyAlignment="1">
      <alignment horizontal="center" vertical="center"/>
    </xf>
    <xf numFmtId="166" fontId="0" fillId="0" borderId="14" xfId="0" applyNumberFormat="1" applyFont="1" applyBorder="1" applyAlignment="1">
      <alignment horizontal="center" vertical="center"/>
    </xf>
    <xf numFmtId="2" fontId="0" fillId="0" borderId="8" xfId="0" applyNumberFormat="1" applyFont="1" applyFill="1" applyBorder="1" applyAlignment="1">
      <alignment horizontal="center" vertical="center"/>
    </xf>
    <xf numFmtId="2" fontId="0" fillId="0" borderId="14" xfId="0" applyNumberFormat="1"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10" fillId="3" borderId="4"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0" borderId="4" xfId="0" applyFont="1"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2" xfId="0" applyFill="1" applyBorder="1" applyAlignment="1">
      <alignment horizontal="center" vertical="center"/>
    </xf>
    <xf numFmtId="0" fontId="0" fillId="2" borderId="1" xfId="0"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0" fillId="0" borderId="0" xfId="0" applyAlignment="1">
      <alignment horizontal="center" vertical="center"/>
    </xf>
    <xf numFmtId="0" fontId="0" fillId="2" borderId="31" xfId="0" applyFill="1" applyBorder="1" applyAlignment="1">
      <alignment horizontal="center" vertical="center"/>
    </xf>
    <xf numFmtId="0" fontId="23" fillId="3" borderId="14" xfId="0" applyFont="1" applyFill="1" applyBorder="1" applyAlignment="1">
      <alignment horizontal="center" vertical="center"/>
    </xf>
    <xf numFmtId="0" fontId="74" fillId="3" borderId="14" xfId="0" applyFont="1" applyFill="1" applyBorder="1" applyAlignment="1">
      <alignment horizontal="center" vertical="center"/>
    </xf>
    <xf numFmtId="2" fontId="15" fillId="0" borderId="8" xfId="8" applyNumberFormat="1" applyFont="1" applyFill="1" applyBorder="1" applyAlignment="1">
      <alignment horizontal="center" vertical="center"/>
    </xf>
    <xf numFmtId="2" fontId="0" fillId="2" borderId="29" xfId="0" applyNumberFormat="1" applyFill="1" applyBorder="1" applyAlignment="1">
      <alignment horizontal="center" vertical="center"/>
    </xf>
    <xf numFmtId="2" fontId="0" fillId="2" borderId="32" xfId="0" applyNumberFormat="1" applyFill="1" applyBorder="1" applyAlignment="1">
      <alignment horizontal="center" vertical="center"/>
    </xf>
    <xf numFmtId="4" fontId="77" fillId="0" borderId="0" xfId="1" applyNumberFormat="1" applyFont="1" applyBorder="1" applyAlignment="1">
      <alignment vertical="center"/>
    </xf>
    <xf numFmtId="166" fontId="0" fillId="2" borderId="29" xfId="0" applyNumberFormat="1" applyFill="1" applyBorder="1" applyAlignment="1">
      <alignment horizontal="center" vertical="center"/>
    </xf>
    <xf numFmtId="166" fontId="0" fillId="2" borderId="31" xfId="0" applyNumberFormat="1" applyFill="1" applyBorder="1" applyAlignment="1">
      <alignment horizontal="center" vertical="center"/>
    </xf>
    <xf numFmtId="166" fontId="0" fillId="2" borderId="32" xfId="0" applyNumberForma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0" borderId="0" xfId="0" applyFill="1" applyBorder="1" applyAlignment="1">
      <alignment horizontal="center" vertical="center" wrapText="1"/>
    </xf>
    <xf numFmtId="0" fontId="10" fillId="3" borderId="1"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0" fillId="0" borderId="4" xfId="0" applyFont="1" applyFill="1" applyBorder="1" applyAlignment="1">
      <alignment horizontal="center" vertical="center"/>
    </xf>
    <xf numFmtId="0" fontId="0" fillId="2" borderId="1" xfId="0"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2" fontId="21" fillId="0" borderId="13" xfId="0" applyNumberFormat="1" applyFont="1" applyBorder="1" applyAlignment="1">
      <alignment horizontal="center" vertical="center"/>
    </xf>
    <xf numFmtId="11" fontId="0" fillId="0" borderId="0" xfId="0" applyNumberFormat="1" applyBorder="1" applyAlignment="1">
      <alignment horizontal="center" vertical="center"/>
    </xf>
    <xf numFmtId="0" fontId="0" fillId="0" borderId="0" xfId="0" applyAlignment="1">
      <alignment vertical="center"/>
    </xf>
    <xf numFmtId="4" fontId="76" fillId="0" borderId="4" xfId="1" applyNumberFormat="1" applyFont="1" applyBorder="1" applyAlignment="1">
      <alignment horizontal="center" vertical="center"/>
    </xf>
    <xf numFmtId="0" fontId="0" fillId="0" borderId="4" xfId="0" applyBorder="1"/>
    <xf numFmtId="0" fontId="0" fillId="0" borderId="3"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4" xfId="0" applyFill="1" applyBorder="1" applyAlignment="1">
      <alignment horizontal="center" vertical="center" wrapText="1"/>
    </xf>
    <xf numFmtId="0" fontId="0" fillId="0" borderId="8" xfId="0" applyFill="1" applyBorder="1" applyAlignment="1">
      <alignment horizontal="left" vertical="center" wrapText="1"/>
    </xf>
    <xf numFmtId="0" fontId="0" fillId="0" borderId="4" xfId="0" applyFill="1" applyBorder="1" applyAlignment="1">
      <alignment horizontal="center" vertical="center" wrapText="1"/>
    </xf>
    <xf numFmtId="2" fontId="0" fillId="0" borderId="13" xfId="8" applyNumberFormat="1" applyFont="1" applyFill="1" applyBorder="1" applyAlignment="1">
      <alignment horizontal="center" vertical="center"/>
    </xf>
    <xf numFmtId="0" fontId="66" fillId="0" borderId="0" xfId="0" applyFont="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37" xfId="0" applyBorder="1" applyAlignment="1">
      <alignment horizontal="center" vertical="center"/>
    </xf>
    <xf numFmtId="0" fontId="0" fillId="0" borderId="38"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2" fontId="21" fillId="2" borderId="0" xfId="0" applyNumberFormat="1" applyFont="1" applyFill="1" applyBorder="1"/>
    <xf numFmtId="2" fontId="21" fillId="2" borderId="10" xfId="0" applyNumberFormat="1" applyFont="1" applyFill="1" applyBorder="1"/>
    <xf numFmtId="49" fontId="0" fillId="0" borderId="0" xfId="0" applyNumberFormat="1" applyBorder="1"/>
    <xf numFmtId="166" fontId="0" fillId="0" borderId="0" xfId="0" applyNumberFormat="1" applyBorder="1"/>
    <xf numFmtId="0" fontId="21" fillId="2" borderId="10" xfId="0" applyFont="1" applyFill="1" applyBorder="1"/>
    <xf numFmtId="0" fontId="0" fillId="0" borderId="8" xfId="0" applyBorder="1" applyAlignment="1">
      <alignment horizontal="center"/>
    </xf>
    <xf numFmtId="0" fontId="1" fillId="3" borderId="7" xfId="0" applyFont="1" applyFill="1" applyBorder="1" applyAlignment="1">
      <alignment horizontal="center" vertical="center"/>
    </xf>
    <xf numFmtId="166" fontId="0" fillId="2" borderId="2" xfId="0" applyNumberFormat="1" applyFill="1" applyBorder="1" applyAlignment="1">
      <alignment horizontal="center" vertical="center"/>
    </xf>
    <xf numFmtId="1" fontId="0" fillId="2" borderId="3" xfId="0" applyNumberFormat="1" applyFill="1" applyBorder="1" applyAlignment="1">
      <alignment horizontal="center" vertical="center"/>
    </xf>
    <xf numFmtId="1" fontId="0" fillId="2" borderId="4" xfId="0" applyNumberFormat="1" applyFill="1" applyBorder="1" applyAlignment="1">
      <alignment horizontal="center" vertical="center"/>
    </xf>
    <xf numFmtId="0" fontId="0" fillId="0" borderId="15" xfId="0" applyFill="1" applyBorder="1" applyAlignment="1">
      <alignment horizontal="center" vertical="center" wrapText="1"/>
    </xf>
    <xf numFmtId="0" fontId="0" fillId="0" borderId="12" xfId="0" applyFill="1" applyBorder="1" applyAlignment="1">
      <alignment horizontal="center" vertical="center"/>
    </xf>
    <xf numFmtId="0" fontId="0" fillId="0" borderId="15" xfId="0" applyFill="1" applyBorder="1" applyAlignment="1">
      <alignment horizontal="left" vertical="center" wrapText="1"/>
    </xf>
    <xf numFmtId="0" fontId="0" fillId="0" borderId="8" xfId="0" applyBorder="1" applyAlignment="1">
      <alignment horizontal="left" vertical="center"/>
    </xf>
    <xf numFmtId="168" fontId="0" fillId="0" borderId="6" xfId="0" applyNumberForma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49" fillId="2" borderId="0" xfId="0" applyFont="1" applyFill="1" applyBorder="1" applyAlignment="1">
      <alignment horizontal="center"/>
    </xf>
    <xf numFmtId="0" fontId="79" fillId="2" borderId="0" xfId="1" applyFont="1" applyFill="1" applyBorder="1" applyAlignment="1">
      <alignment horizontal="center"/>
    </xf>
    <xf numFmtId="166" fontId="49" fillId="2" borderId="0" xfId="1" applyNumberFormat="1" applyFont="1" applyFill="1" applyBorder="1" applyAlignment="1">
      <alignment horizontal="center" vertical="center"/>
    </xf>
    <xf numFmtId="166" fontId="49" fillId="2" borderId="0" xfId="0" applyNumberFormat="1" applyFont="1" applyFill="1" applyBorder="1" applyAlignment="1">
      <alignment horizontal="center" vertical="center"/>
    </xf>
    <xf numFmtId="2" fontId="79" fillId="2" borderId="0" xfId="1" applyNumberFormat="1" applyFont="1" applyFill="1" applyBorder="1" applyAlignment="1">
      <alignment horizontal="center"/>
    </xf>
    <xf numFmtId="166" fontId="79" fillId="2" borderId="0" xfId="1" applyNumberFormat="1" applyFont="1" applyFill="1" applyBorder="1" applyAlignment="1">
      <alignment horizontal="center"/>
    </xf>
    <xf numFmtId="0" fontId="79" fillId="2" borderId="0" xfId="1" applyFont="1" applyFill="1" applyBorder="1"/>
    <xf numFmtId="165" fontId="79" fillId="2" borderId="0" xfId="1" applyNumberFormat="1" applyFont="1" applyFill="1" applyBorder="1" applyAlignment="1">
      <alignment horizontal="center"/>
    </xf>
    <xf numFmtId="166" fontId="0" fillId="0" borderId="2" xfId="0" applyNumberFormat="1" applyBorder="1" applyAlignment="1">
      <alignment horizontal="center" vertical="center"/>
    </xf>
    <xf numFmtId="2" fontId="0" fillId="0" borderId="2" xfId="0" applyNumberFormat="1" applyBorder="1" applyAlignment="1">
      <alignment horizontal="center" vertical="center"/>
    </xf>
    <xf numFmtId="166" fontId="0" fillId="0" borderId="3" xfId="0" applyNumberFormat="1" applyBorder="1" applyAlignment="1">
      <alignment horizontal="center" vertical="center"/>
    </xf>
    <xf numFmtId="0" fontId="10" fillId="3" borderId="4" xfId="0" applyFont="1" applyFill="1" applyBorder="1" applyAlignment="1">
      <alignment horizontal="center" vertical="center"/>
    </xf>
    <xf numFmtId="0" fontId="0" fillId="3" borderId="4" xfId="0" applyFill="1" applyBorder="1" applyAlignment="1">
      <alignment horizontal="center" vertical="center"/>
    </xf>
    <xf numFmtId="0" fontId="0" fillId="3" borderId="9" xfId="0" applyFill="1" applyBorder="1" applyAlignment="1">
      <alignment horizontal="center" vertical="center"/>
    </xf>
    <xf numFmtId="0" fontId="0" fillId="5" borderId="4" xfId="0" applyFont="1" applyFill="1" applyBorder="1" applyAlignment="1">
      <alignment horizontal="center" vertical="center"/>
    </xf>
    <xf numFmtId="0" fontId="0" fillId="5" borderId="15" xfId="0" applyFont="1" applyFill="1" applyBorder="1" applyAlignment="1">
      <alignment horizontal="center" vertical="center"/>
    </xf>
    <xf numFmtId="0" fontId="0" fillId="5" borderId="8" xfId="0" applyFont="1" applyFill="1" applyBorder="1" applyAlignment="1">
      <alignment horizontal="center" vertical="center"/>
    </xf>
    <xf numFmtId="0" fontId="0" fillId="5" borderId="14" xfId="0" applyFont="1" applyFill="1" applyBorder="1" applyAlignment="1">
      <alignment horizontal="center" vertical="center"/>
    </xf>
    <xf numFmtId="0" fontId="0" fillId="3" borderId="8" xfId="0" applyFont="1" applyFill="1" applyBorder="1" applyAlignment="1">
      <alignment horizontal="center" vertical="center"/>
    </xf>
    <xf numFmtId="0" fontId="0" fillId="3" borderId="14" xfId="0" applyFont="1" applyFill="1" applyBorder="1" applyAlignment="1">
      <alignment horizontal="center" vertical="center"/>
    </xf>
    <xf numFmtId="0" fontId="0" fillId="3" borderId="15" xfId="0" applyFill="1" applyBorder="1" applyAlignment="1">
      <alignment horizontal="center" vertical="center"/>
    </xf>
    <xf numFmtId="0" fontId="0" fillId="3" borderId="8" xfId="0" applyFill="1" applyBorder="1" applyAlignment="1">
      <alignment horizontal="center" vertical="center"/>
    </xf>
    <xf numFmtId="166" fontId="0" fillId="0" borderId="4" xfId="0" applyNumberFormat="1" applyFont="1" applyBorder="1" applyAlignment="1">
      <alignment horizontal="center" vertical="center"/>
    </xf>
    <xf numFmtId="0" fontId="0" fillId="0" borderId="0" xfId="0" applyAlignment="1">
      <alignment horizontal="center" vertical="center"/>
    </xf>
    <xf numFmtId="0" fontId="20" fillId="0" borderId="0" xfId="0" applyFont="1" applyAlignment="1">
      <alignment horizontal="center" vertical="center"/>
    </xf>
    <xf numFmtId="10" fontId="0" fillId="2" borderId="13" xfId="8" applyNumberFormat="1" applyFont="1" applyFill="1" applyBorder="1" applyAlignment="1">
      <alignment horizontal="center"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10" fontId="0" fillId="0" borderId="8" xfId="0" applyNumberFormat="1" applyBorder="1" applyAlignment="1">
      <alignment horizontal="center" vertical="center"/>
    </xf>
    <xf numFmtId="0" fontId="10" fillId="2" borderId="0" xfId="0" applyFont="1" applyFill="1" applyAlignment="1">
      <alignment vertical="center" wrapText="1"/>
    </xf>
    <xf numFmtId="10" fontId="0" fillId="0" borderId="8" xfId="8" applyNumberFormat="1" applyFont="1" applyBorder="1" applyAlignment="1">
      <alignment horizontal="center" vertical="center"/>
    </xf>
    <xf numFmtId="168" fontId="0" fillId="0" borderId="8" xfId="0" applyNumberFormat="1" applyBorder="1" applyAlignment="1">
      <alignment horizontal="center" vertical="center"/>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12" fillId="0" borderId="0" xfId="0" applyFont="1" applyAlignment="1">
      <alignment wrapText="1"/>
    </xf>
    <xf numFmtId="0" fontId="10" fillId="0" borderId="12" xfId="0" applyFont="1" applyBorder="1" applyAlignment="1">
      <alignment vertical="center" wrapText="1"/>
    </xf>
    <xf numFmtId="171" fontId="0" fillId="0" borderId="8" xfId="8" applyNumberFormat="1" applyFont="1" applyBorder="1" applyAlignment="1">
      <alignment horizontal="center" vertical="center"/>
    </xf>
    <xf numFmtId="0" fontId="50" fillId="0" borderId="4" xfId="6" applyFont="1" applyBorder="1" applyAlignment="1">
      <alignment horizontal="center" vertical="center"/>
    </xf>
    <xf numFmtId="1" fontId="0" fillId="2" borderId="0" xfId="0" applyNumberFormat="1" applyFill="1"/>
    <xf numFmtId="2" fontId="0" fillId="2" borderId="0" xfId="0" applyNumberFormat="1" applyFill="1"/>
    <xf numFmtId="0" fontId="20" fillId="2" borderId="0" xfId="0" applyFont="1" applyFill="1"/>
    <xf numFmtId="0" fontId="0" fillId="0" borderId="11" xfId="0" applyBorder="1" applyAlignment="1">
      <alignment horizontal="center"/>
    </xf>
    <xf numFmtId="0" fontId="40" fillId="6" borderId="4" xfId="6" applyFont="1" applyFill="1" applyBorder="1" applyAlignment="1">
      <alignment horizontal="center" vertical="center"/>
    </xf>
    <xf numFmtId="0" fontId="40" fillId="6" borderId="4" xfId="0" applyFont="1" applyFill="1" applyBorder="1" applyAlignment="1">
      <alignment horizontal="center" vertical="center"/>
    </xf>
    <xf numFmtId="0" fontId="23" fillId="5" borderId="4" xfId="0" applyFont="1" applyFill="1" applyBorder="1" applyAlignment="1">
      <alignment horizontal="center" vertical="center"/>
    </xf>
    <xf numFmtId="0" fontId="23" fillId="3" borderId="4" xfId="0" applyFont="1" applyFill="1" applyBorder="1" applyAlignment="1">
      <alignment horizontal="center" vertical="center"/>
    </xf>
    <xf numFmtId="0" fontId="23" fillId="2" borderId="0" xfId="6" applyFont="1" applyFill="1" applyBorder="1" applyAlignment="1">
      <alignment horizontal="center" vertical="center"/>
    </xf>
    <xf numFmtId="0" fontId="82" fillId="0" borderId="3" xfId="6" applyFont="1" applyBorder="1" applyAlignment="1">
      <alignment horizontal="center" vertical="center"/>
    </xf>
    <xf numFmtId="0" fontId="0" fillId="0" borderId="14" xfId="0" applyBorder="1"/>
    <xf numFmtId="0" fontId="83" fillId="2" borderId="0" xfId="0" applyFont="1" applyFill="1" applyBorder="1" applyAlignment="1">
      <alignment horizontal="center" vertical="center"/>
    </xf>
    <xf numFmtId="2" fontId="23" fillId="2" borderId="0" xfId="0" applyNumberFormat="1" applyFont="1" applyFill="1" applyBorder="1" applyAlignment="1">
      <alignment horizontal="center" vertical="center"/>
    </xf>
    <xf numFmtId="0" fontId="23" fillId="5" borderId="14" xfId="0" applyFont="1" applyFill="1" applyBorder="1" applyAlignment="1">
      <alignment horizontal="center" vertical="center"/>
    </xf>
    <xf numFmtId="0" fontId="23" fillId="2" borderId="0" xfId="0" applyFont="1" applyFill="1" applyBorder="1" applyAlignment="1">
      <alignment horizontal="center" vertical="center"/>
    </xf>
    <xf numFmtId="0" fontId="41" fillId="2" borderId="4" xfId="0" applyFont="1" applyFill="1" applyBorder="1" applyAlignment="1">
      <alignment horizontal="center" vertical="center" wrapText="1"/>
    </xf>
    <xf numFmtId="0" fontId="82" fillId="0" borderId="0" xfId="6" applyFont="1" applyFill="1" applyBorder="1" applyAlignment="1">
      <alignment vertical="center"/>
    </xf>
    <xf numFmtId="0" fontId="38" fillId="0" borderId="0" xfId="0" applyFont="1" applyFill="1" applyBorder="1" applyAlignment="1">
      <alignment horizontal="center" vertical="center"/>
    </xf>
    <xf numFmtId="2" fontId="0" fillId="2" borderId="7" xfId="0" applyNumberFormat="1" applyFill="1" applyBorder="1" applyAlignment="1">
      <alignment horizontal="center" vertical="center"/>
    </xf>
    <xf numFmtId="0" fontId="23" fillId="2" borderId="0" xfId="0" applyNumberFormat="1" applyFont="1" applyFill="1" applyBorder="1" applyAlignment="1">
      <alignment horizontal="center" vertical="center"/>
    </xf>
    <xf numFmtId="0" fontId="83" fillId="2" borderId="0" xfId="6" applyFont="1" applyFill="1" applyAlignment="1">
      <alignment horizontal="center" vertical="center"/>
    </xf>
    <xf numFmtId="0" fontId="41" fillId="2" borderId="4" xfId="0" applyFont="1" applyFill="1" applyBorder="1" applyAlignment="1">
      <alignment vertical="center" wrapText="1"/>
    </xf>
    <xf numFmtId="2" fontId="0" fillId="2" borderId="0" xfId="0" applyNumberFormat="1" applyFill="1" applyBorder="1" applyAlignment="1">
      <alignment horizontal="center" vertical="center"/>
    </xf>
    <xf numFmtId="2" fontId="0" fillId="2" borderId="6" xfId="0" applyNumberFormat="1" applyFill="1" applyBorder="1" applyAlignment="1">
      <alignment horizontal="center" vertical="center"/>
    </xf>
    <xf numFmtId="2" fontId="0" fillId="0" borderId="0" xfId="0" applyNumberFormat="1" applyFont="1" applyFill="1" applyBorder="1" applyAlignment="1">
      <alignment horizontal="center" vertical="center"/>
    </xf>
    <xf numFmtId="2" fontId="0" fillId="2" borderId="0" xfId="0" applyNumberFormat="1" applyFont="1" applyFill="1" applyAlignment="1">
      <alignment horizontal="center" vertical="center"/>
    </xf>
    <xf numFmtId="2" fontId="0" fillId="0" borderId="0" xfId="0" applyNumberFormat="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11" fillId="8" borderId="4" xfId="0" applyFont="1" applyFill="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0" fillId="0" borderId="1" xfId="0" applyFont="1" applyBorder="1" applyAlignment="1">
      <alignment horizontal="center" vertical="center"/>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1" fillId="0" borderId="15" xfId="0" applyFont="1" applyBorder="1" applyAlignment="1">
      <alignment horizontal="center" vertical="center"/>
    </xf>
    <xf numFmtId="0" fontId="11" fillId="0" borderId="14" xfId="0" applyFont="1" applyBorder="1" applyAlignment="1">
      <alignment horizontal="center" vertical="center"/>
    </xf>
    <xf numFmtId="0" fontId="1" fillId="6" borderId="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69" fillId="0" borderId="4" xfId="11"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2" xfId="0" applyFill="1" applyBorder="1" applyAlignment="1">
      <alignment horizontal="center" vertical="center"/>
    </xf>
    <xf numFmtId="0" fontId="10" fillId="2" borderId="1" xfId="0" applyFont="1" applyFill="1" applyBorder="1" applyAlignment="1">
      <alignment horizontal="center" vertical="center"/>
    </xf>
    <xf numFmtId="0" fontId="10" fillId="2" borderId="3" xfId="0" applyFont="1"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78" fillId="0" borderId="4" xfId="11" applyFont="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wrapText="1"/>
    </xf>
    <xf numFmtId="0" fontId="12" fillId="0" borderId="14" xfId="0" applyFont="1" applyFill="1" applyBorder="1" applyAlignment="1">
      <alignment horizontal="center" vertical="center" wrapText="1"/>
    </xf>
    <xf numFmtId="0" fontId="69" fillId="0" borderId="4" xfId="11" applyBorder="1" applyAlignment="1">
      <alignment horizont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7" borderId="12"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0" fillId="2" borderId="2" xfId="0" applyFont="1" applyFill="1" applyBorder="1" applyAlignment="1">
      <alignment horizontal="center" vertical="center"/>
    </xf>
    <xf numFmtId="0" fontId="0" fillId="2" borderId="1" xfId="0" applyFill="1" applyBorder="1" applyAlignment="1">
      <alignment horizontal="center" vertical="center"/>
    </xf>
    <xf numFmtId="0" fontId="69" fillId="0" borderId="4" xfId="11" applyFill="1"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4" fontId="77" fillId="0" borderId="1" xfId="1" applyNumberFormat="1" applyFont="1" applyBorder="1" applyAlignment="1">
      <alignment horizontal="center" vertical="center"/>
    </xf>
    <xf numFmtId="4" fontId="77" fillId="0" borderId="2" xfId="1" applyNumberFormat="1" applyFont="1" applyBorder="1" applyAlignment="1">
      <alignment horizontal="center" vertical="center"/>
    </xf>
    <xf numFmtId="4" fontId="77" fillId="0" borderId="3" xfId="1" applyNumberFormat="1" applyFont="1" applyBorder="1" applyAlignment="1">
      <alignment horizontal="center" vertical="center"/>
    </xf>
    <xf numFmtId="0" fontId="77" fillId="0" borderId="5" xfId="1" applyFont="1" applyBorder="1" applyAlignment="1">
      <alignment horizontal="center" vertical="center"/>
    </xf>
    <xf numFmtId="0" fontId="77" fillId="0" borderId="6" xfId="1" applyFont="1" applyBorder="1" applyAlignment="1">
      <alignment horizontal="center" vertical="center"/>
    </xf>
    <xf numFmtId="0" fontId="77" fillId="0" borderId="7" xfId="1" applyFont="1" applyBorder="1" applyAlignment="1">
      <alignment horizontal="center" vertical="center"/>
    </xf>
    <xf numFmtId="0" fontId="77" fillId="0" borderId="1" xfId="1" applyFont="1" applyBorder="1" applyAlignment="1">
      <alignment horizontal="center" vertical="center"/>
    </xf>
    <xf numFmtId="0" fontId="77" fillId="0" borderId="2" xfId="1" applyFont="1" applyBorder="1" applyAlignment="1">
      <alignment horizontal="center" vertical="center"/>
    </xf>
    <xf numFmtId="0" fontId="77" fillId="0" borderId="3" xfId="1"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69" fillId="0" borderId="4" xfId="11" applyFill="1" applyBorder="1" applyAlignment="1">
      <alignment horizontal="center" vertical="center" wrapText="1"/>
    </xf>
    <xf numFmtId="0" fontId="69" fillId="0" borderId="4" xfId="11" applyBorder="1" applyAlignment="1">
      <alignment horizontal="center" vertic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69" fillId="0" borderId="1" xfId="11" applyFill="1" applyBorder="1" applyAlignment="1">
      <alignment horizontal="center" vertical="center" wrapText="1"/>
    </xf>
    <xf numFmtId="0" fontId="69" fillId="0" borderId="2" xfId="11" applyFill="1" applyBorder="1" applyAlignment="1">
      <alignment horizontal="center" vertical="center" wrapText="1"/>
    </xf>
    <xf numFmtId="0" fontId="69" fillId="0" borderId="3" xfId="11" applyFill="1" applyBorder="1" applyAlignment="1">
      <alignment horizontal="center" vertical="center" wrapText="1"/>
    </xf>
    <xf numFmtId="0" fontId="0" fillId="0" borderId="4" xfId="0" applyFont="1" applyFill="1" applyBorder="1" applyAlignment="1">
      <alignment horizontal="center" vertical="center"/>
    </xf>
    <xf numFmtId="0" fontId="11" fillId="6" borderId="2" xfId="0" applyFont="1" applyFill="1" applyBorder="1" applyAlignment="1">
      <alignment horizontal="center" vertical="center"/>
    </xf>
    <xf numFmtId="0" fontId="11" fillId="6" borderId="3" xfId="0" applyFont="1" applyFill="1" applyBorder="1" applyAlignment="1">
      <alignment horizontal="center" vertical="center"/>
    </xf>
    <xf numFmtId="0" fontId="11" fillId="6" borderId="4" xfId="0" applyFont="1" applyFill="1" applyBorder="1" applyAlignment="1">
      <alignment horizontal="center" vertical="center"/>
    </xf>
    <xf numFmtId="0" fontId="1" fillId="0" borderId="12" xfId="0" applyFont="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69" fillId="0" borderId="1" xfId="11" applyFill="1" applyBorder="1" applyAlignment="1">
      <alignment horizontal="center" vertical="center"/>
    </xf>
    <xf numFmtId="0" fontId="69" fillId="0" borderId="2" xfId="11" applyFill="1" applyBorder="1" applyAlignment="1">
      <alignment horizontal="center" vertical="center"/>
    </xf>
    <xf numFmtId="0" fontId="23" fillId="2" borderId="15" xfId="0" applyFont="1" applyFill="1" applyBorder="1" applyAlignment="1">
      <alignment horizontal="center" vertical="center"/>
    </xf>
    <xf numFmtId="0" fontId="0" fillId="2" borderId="8" xfId="0" applyFill="1" applyBorder="1" applyAlignment="1">
      <alignment horizont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5" xfId="0" applyBorder="1" applyAlignment="1">
      <alignment horizontal="center" vertical="center"/>
    </xf>
    <xf numFmtId="0" fontId="73" fillId="2" borderId="4" xfId="0" applyFont="1" applyFill="1" applyBorder="1" applyAlignment="1">
      <alignment horizontal="center" vertical="center"/>
    </xf>
    <xf numFmtId="0" fontId="15" fillId="5"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0" fillId="5" borderId="4" xfId="6" applyFont="1" applyFill="1" applyBorder="1" applyAlignment="1">
      <alignment horizontal="center" vertical="center"/>
    </xf>
    <xf numFmtId="0" fontId="82" fillId="0" borderId="9" xfId="6" applyFont="1" applyFill="1" applyBorder="1" applyAlignment="1">
      <alignment horizontal="center" vertical="center"/>
    </xf>
    <xf numFmtId="0" fontId="82" fillId="0" borderId="0" xfId="6" applyFont="1" applyFill="1" applyBorder="1" applyAlignment="1">
      <alignment horizontal="center" vertical="center"/>
    </xf>
    <xf numFmtId="0" fontId="11" fillId="8" borderId="4"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8" xfId="0" applyFont="1" applyBorder="1" applyAlignment="1">
      <alignment horizontal="center" vertical="center"/>
    </xf>
    <xf numFmtId="0" fontId="10" fillId="0" borderId="15"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80">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alignment horizontal="center" vertical="center" textRotation="0" wrapText="0" indent="0" justifyLastLine="0" shrinkToFit="0" readingOrder="0"/>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numFmt numFmtId="166" formatCode="0.0"/>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10.xml"/><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3" Type="http://schemas.openxmlformats.org/officeDocument/2006/relationships/themeOverride" Target="../theme/themeOverride11.xml"/><Relationship Id="rId2" Type="http://schemas.microsoft.com/office/2011/relationships/chartColorStyle" Target="colors9.xml"/><Relationship Id="rId1" Type="http://schemas.microsoft.com/office/2011/relationships/chartStyle" Target="style9.xml"/></Relationships>
</file>

<file path=xl/charts/_rels/chart1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1"/>
          <c:order val="1"/>
          <c:tx>
            <c:strRef>
              <c:f>'Unit-100 - NG Pre-treating'!$E$6</c:f>
              <c:strCache>
                <c:ptCount val="1"/>
                <c:pt idx="0">
                  <c:v>NG Pre-treating</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('Unit-100 - NG Pre-treating'!$C$13:$C$17,'Unit-100 - NG Pre-treating'!$C$46:$C$47)</c:f>
              <c:strCache>
                <c:ptCount val="7"/>
                <c:pt idx="0">
                  <c:v>HEX-101</c:v>
                </c:pt>
                <c:pt idx="1">
                  <c:v>HEX-102</c:v>
                </c:pt>
                <c:pt idx="2">
                  <c:v>HEX-103</c:v>
                </c:pt>
                <c:pt idx="3">
                  <c:v>HEX-104</c:v>
                </c:pt>
                <c:pt idx="4">
                  <c:v>P-101</c:v>
                </c:pt>
                <c:pt idx="5">
                  <c:v>DS-100</c:v>
                </c:pt>
                <c:pt idx="6">
                  <c:v>R-100</c:v>
                </c:pt>
              </c:strCache>
            </c:strRef>
          </c:cat>
          <c:val>
            <c:numRef>
              <c:f>('Unit-100 - NG Pre-treating'!$T$13:$T$17,'Unit-100 - NG Pre-treating'!$T$46:$T$47)</c:f>
              <c:numCache>
                <c:formatCode>0.00</c:formatCode>
                <c:ptCount val="7"/>
                <c:pt idx="0">
                  <c:v>0.65466567897924144</c:v>
                </c:pt>
                <c:pt idx="1">
                  <c:v>0.32534780713200817</c:v>
                </c:pt>
                <c:pt idx="2">
                  <c:v>0.46036702047829198</c:v>
                </c:pt>
                <c:pt idx="3">
                  <c:v>0.83556579046943136</c:v>
                </c:pt>
                <c:pt idx="4">
                  <c:v>7.8781959633944174E-2</c:v>
                </c:pt>
                <c:pt idx="5">
                  <c:v>0.33034427749972683</c:v>
                </c:pt>
                <c:pt idx="6">
                  <c:v>3.2557677162369312</c:v>
                </c:pt>
              </c:numCache>
            </c:numRef>
          </c:val>
          <c:extLst>
            <c:ext xmlns:c16="http://schemas.microsoft.com/office/drawing/2014/chart" uri="{C3380CC4-5D6E-409C-BE32-E72D297353CC}">
              <c16:uniqueId val="{00000001-3974-4FE7-A0EC-0A01F1AA1E73}"/>
            </c:ext>
          </c:extLst>
        </c:ser>
        <c:dLbls>
          <c:showLegendKey val="0"/>
          <c:showVal val="0"/>
          <c:showCatName val="0"/>
          <c:showSerName val="0"/>
          <c:showPercent val="0"/>
          <c:showBubbleSize val="0"/>
          <c:showLeaderLines val="0"/>
        </c:dLbls>
        <c:extLst>
          <c:ext xmlns:c15="http://schemas.microsoft.com/office/drawing/2012/chart" uri="{02D57815-91ED-43cb-92C2-25804820EDAC}">
            <c15:filteredPieSeries>
              <c15:ser>
                <c:idx val="0"/>
                <c:order val="0"/>
                <c:tx>
                  <c:strRef>
                    <c:extLst>
                      <c:ext uri="{02D57815-91ED-43cb-92C2-25804820EDAC}">
                        <c15:formulaRef>
                          <c15:sqref>'Unit-100 - NG Pre-treating'!$C$13:$C$14</c15:sqref>
                        </c15:formulaRef>
                      </c:ext>
                    </c:extLst>
                    <c:strCache>
                      <c:ptCount val="2"/>
                      <c:pt idx="0">
                        <c:v>HEX-101</c:v>
                      </c:pt>
                      <c:pt idx="1">
                        <c:v>HEX-102</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uri="{CE6537A1-D6FC-4f65-9D91-7224C49458BB}">
                      <c15:spPr xmlns:c15="http://schemas.microsoft.com/office/drawing/2012/chart">
                        <a:prstGeom prst="wedgeRectCallout">
                          <a:avLst/>
                        </a:prstGeom>
                      </c15:spPr>
                    </c:ext>
                  </c:extLst>
                </c:dLbls>
                <c:cat>
                  <c:strRef>
                    <c:extLst>
                      <c:ext uri="{02D57815-91ED-43cb-92C2-25804820EDAC}">
                        <c15:formulaRef>
                          <c15:sqref>('Unit-100 - NG Pre-treating'!$C$13:$C$17,'Unit-100 - NG Pre-treating'!$C$46:$C$47)</c15:sqref>
                        </c15:formulaRef>
                      </c:ext>
                    </c:extLst>
                    <c:strCache>
                      <c:ptCount val="7"/>
                      <c:pt idx="0">
                        <c:v>HEX-101</c:v>
                      </c:pt>
                      <c:pt idx="1">
                        <c:v>HEX-102</c:v>
                      </c:pt>
                      <c:pt idx="2">
                        <c:v>HEX-103</c:v>
                      </c:pt>
                      <c:pt idx="3">
                        <c:v>HEX-104</c:v>
                      </c:pt>
                      <c:pt idx="4">
                        <c:v>P-101</c:v>
                      </c:pt>
                      <c:pt idx="5">
                        <c:v>DS-100</c:v>
                      </c:pt>
                      <c:pt idx="6">
                        <c:v>R-100</c:v>
                      </c:pt>
                    </c:strCache>
                  </c:strRef>
                </c:cat>
                <c:val>
                  <c:numRef>
                    <c:extLst>
                      <c:ext uri="{02D57815-91ED-43cb-92C2-25804820EDAC}">
                        <c15:formulaRef>
                          <c15:sqref>'Unit-100 - NG Pre-treating'!$S$13:$S$14</c15:sqref>
                        </c15:formulaRef>
                      </c:ext>
                    </c:extLst>
                    <c:numCache>
                      <c:formatCode>0.00</c:formatCode>
                      <c:ptCount val="2"/>
                      <c:pt idx="0">
                        <c:v>0.41045424904041167</c:v>
                      </c:pt>
                      <c:pt idx="1">
                        <c:v>0.2039825733060118</c:v>
                      </c:pt>
                    </c:numCache>
                  </c:numRef>
                </c:val>
                <c:extLst>
                  <c:ext xmlns:c16="http://schemas.microsoft.com/office/drawing/2014/chart" uri="{C3380CC4-5D6E-409C-BE32-E72D297353CC}">
                    <c16:uniqueId val="{00000000-6E30-4227-8674-ED8E18D7F7F8}"/>
                  </c:ext>
                </c:extLst>
              </c15:ser>
            </c15:filteredPieSeries>
          </c:ext>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'Unit-200 - GSR'!$E$6</c:f>
              <c:strCache>
                <c:ptCount val="1"/>
                <c:pt idx="0">
                  <c:v>GSR</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('Unit-200 - GSR'!$C$13:$C$14,'Unit-200 - GSR'!$C$46:$C$49)</c:f>
              <c:strCache>
                <c:ptCount val="6"/>
                <c:pt idx="0">
                  <c:v>Reactor</c:v>
                </c:pt>
                <c:pt idx="1">
                  <c:v>Shell</c:v>
                </c:pt>
                <c:pt idx="2">
                  <c:v>INS</c:v>
                </c:pt>
                <c:pt idx="3">
                  <c:v>GSV</c:v>
                </c:pt>
                <c:pt idx="4">
                  <c:v>ROD</c:v>
                </c:pt>
                <c:pt idx="5">
                  <c:v>OC</c:v>
                </c:pt>
              </c:strCache>
            </c:strRef>
          </c:cat>
          <c:val>
            <c:numRef>
              <c:f>('Unit-200 - GSR'!$T$13:$T$14,'Unit-200 - GSR'!$T$46:$T$49)</c:f>
              <c:numCache>
                <c:formatCode>General</c:formatCode>
                <c:ptCount val="6"/>
                <c:pt idx="0">
                  <c:v>2.860037842074004</c:v>
                </c:pt>
                <c:pt idx="1">
                  <c:v>2.2132196804985043</c:v>
                </c:pt>
                <c:pt idx="2" formatCode="0.00">
                  <c:v>0.12133455799150118</c:v>
                </c:pt>
                <c:pt idx="3" formatCode="0.00">
                  <c:v>2.3513716120839607</c:v>
                </c:pt>
                <c:pt idx="4" formatCode="0.00">
                  <c:v>0.26613364889402757</c:v>
                </c:pt>
                <c:pt idx="5" formatCode="0.00">
                  <c:v>0.40889655277845416</c:v>
                </c:pt>
              </c:numCache>
            </c:numRef>
          </c:val>
          <c:extLst>
            <c:ext xmlns:c16="http://schemas.microsoft.com/office/drawing/2014/chart" uri="{C3380CC4-5D6E-409C-BE32-E72D297353CC}">
              <c16:uniqueId val="{00000001-7C3F-48E1-BA46-C93FF2B1E14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'Unit-300 - Power Cycle '!$C$13:$C$17</c:f>
              <c:strCache>
                <c:ptCount val="5"/>
                <c:pt idx="0">
                  <c:v>K-301</c:v>
                </c:pt>
                <c:pt idx="1">
                  <c:v>T-301</c:v>
                </c:pt>
                <c:pt idx="2">
                  <c:v>HEX-301</c:v>
                </c:pt>
                <c:pt idx="3">
                  <c:v>P-301</c:v>
                </c:pt>
                <c:pt idx="4">
                  <c:v>D-301</c:v>
                </c:pt>
              </c:strCache>
              <c:extLst xmlns:c15="http://schemas.microsoft.com/office/drawing/2012/chart"/>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'Unit-300 - Power Cycle '!$C$13:$C$17</c:f>
              <c:strCache>
                <c:ptCount val="5"/>
                <c:pt idx="0">
                  <c:v>K-301</c:v>
                </c:pt>
                <c:pt idx="1">
                  <c:v>T-301</c:v>
                </c:pt>
                <c:pt idx="2">
                  <c:v>HEX-301</c:v>
                </c:pt>
                <c:pt idx="3">
                  <c:v>P-301</c:v>
                </c:pt>
                <c:pt idx="4">
                  <c:v>D-301</c:v>
                </c:pt>
              </c:strCache>
              <c:extLst xmlns:c15="http://schemas.microsoft.com/office/drawing/2012/chart"/>
            </c:strRef>
          </c:cat>
          <c:val>
            <c:numRef>
              <c:f>'Unit-300 - Power Cycle '!$T$13:$T$17</c:f>
              <c:numCache>
                <c:formatCode>General</c:formatCode>
                <c:ptCount val="5"/>
                <c:pt idx="0">
                  <c:v>6.1050742042380461</c:v>
                </c:pt>
                <c:pt idx="1">
                  <c:v>5.7631354587846468</c:v>
                </c:pt>
                <c:pt idx="2">
                  <c:v>0.40889168713543983</c:v>
                </c:pt>
                <c:pt idx="3">
                  <c:v>3.081162677213246E-2</c:v>
                </c:pt>
                <c:pt idx="4">
                  <c:v>0.30856104203914586</c:v>
                </c:pt>
              </c:numCache>
            </c:numRef>
          </c:val>
          <c:extLst xmlns:c15="http://schemas.microsoft.com/office/drawing/2012/chart">
            <c:ext xmlns:c16="http://schemas.microsoft.com/office/drawing/2014/chart" uri="{C3380CC4-5D6E-409C-BE32-E72D297353CC}">
              <c16:uniqueId val="{00000000-B581-4920-BDF6-6058C4088D6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'Unit-400 - WGS'!$E$6</c:f>
              <c:strCache>
                <c:ptCount val="1"/>
                <c:pt idx="0">
                  <c:v>WGS</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('Unit-400 - WGS'!$C$13:$C$22,'Unit-400 - WGS'!$C$46:$C$49)</c:f>
              <c:strCache>
                <c:ptCount val="14"/>
                <c:pt idx="0">
                  <c:v>HTS-400 Reactor</c:v>
                </c:pt>
                <c:pt idx="1">
                  <c:v>HTS-400 Shell</c:v>
                </c:pt>
                <c:pt idx="2">
                  <c:v>LTS-400 Reactor</c:v>
                </c:pt>
                <c:pt idx="3">
                  <c:v>LTS-400 Shell</c:v>
                </c:pt>
                <c:pt idx="4">
                  <c:v>HEX-401</c:v>
                </c:pt>
                <c:pt idx="5">
                  <c:v>HEX-402</c:v>
                </c:pt>
                <c:pt idx="6">
                  <c:v>HEX-403</c:v>
                </c:pt>
                <c:pt idx="7">
                  <c:v>P-401</c:v>
                </c:pt>
                <c:pt idx="8">
                  <c:v>V-401</c:v>
                </c:pt>
                <c:pt idx="9">
                  <c:v>C-401</c:v>
                </c:pt>
                <c:pt idx="10">
                  <c:v>INS 1</c:v>
                </c:pt>
                <c:pt idx="11">
                  <c:v>INS 2</c:v>
                </c:pt>
                <c:pt idx="12">
                  <c:v>CAT 1</c:v>
                </c:pt>
                <c:pt idx="13">
                  <c:v>CAT 2</c:v>
                </c:pt>
              </c:strCache>
            </c:strRef>
          </c:cat>
          <c:val>
            <c:numRef>
              <c:f>('Unit-400 - WGS'!$T$13:$T$22,'Unit-400 - WGS'!$T$46:$T$49)</c:f>
              <c:numCache>
                <c:formatCode>General</c:formatCode>
                <c:ptCount val="14"/>
                <c:pt idx="0">
                  <c:v>0.34746730910836593</c:v>
                </c:pt>
                <c:pt idx="1">
                  <c:v>0.80235154087061322</c:v>
                </c:pt>
                <c:pt idx="2">
                  <c:v>4.2702408228594994E-2</c:v>
                </c:pt>
                <c:pt idx="3">
                  <c:v>0.29985996811865873</c:v>
                </c:pt>
                <c:pt idx="4">
                  <c:v>0.22411109987456382</c:v>
                </c:pt>
                <c:pt idx="5">
                  <c:v>0.17554702265473965</c:v>
                </c:pt>
                <c:pt idx="6">
                  <c:v>0.21233598394001607</c:v>
                </c:pt>
                <c:pt idx="7">
                  <c:v>7.7669341904354566E-2</c:v>
                </c:pt>
                <c:pt idx="8">
                  <c:v>0.18843851912937107</c:v>
                </c:pt>
                <c:pt idx="9">
                  <c:v>0.17855580302526103</c:v>
                </c:pt>
              </c:numCache>
            </c:numRef>
          </c:val>
          <c:extLst xmlns:c15="http://schemas.microsoft.com/office/drawing/2012/chart">
            <c:ext xmlns:c16="http://schemas.microsoft.com/office/drawing/2014/chart" uri="{C3380CC4-5D6E-409C-BE32-E72D297353CC}">
              <c16:uniqueId val="{00000000-35ED-46E4-96BD-B3A7CB3C509F}"/>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'Unit-500 - H2 Production'!$E$6</c:f>
              <c:strCache>
                <c:ptCount val="1"/>
                <c:pt idx="0">
                  <c:v>H₂ Production</c:v>
                </c:pt>
              </c:strCache>
            </c:strRef>
          </c:tx>
          <c:dLbls>
            <c:dLbl>
              <c:idx val="3"/>
              <c:layout>
                <c:manualLayout>
                  <c:x val="9.2293668278356569E-2"/>
                  <c:y val="4.89546909986757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08F-424B-BF09-5DAE20019F73}"/>
                </c:ext>
              </c:extLst>
            </c:dLbl>
            <c:dLbl>
              <c:idx val="4"/>
              <c:layout>
                <c:manualLayout>
                  <c:x val="4.2134065953162783E-2"/>
                  <c:y val="3.263646066578379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08F-424B-BF09-5DAE20019F73}"/>
                </c:ext>
              </c:extLst>
            </c:dLbl>
            <c:dLbl>
              <c:idx val="6"/>
              <c:layout>
                <c:manualLayout>
                  <c:x val="-6.0191522790232543E-2"/>
                  <c:y val="-8.1591151664459488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E08F-424B-BF09-5DAE20019F73}"/>
                </c:ext>
              </c:extLst>
            </c:dLbl>
            <c:dLbl>
              <c:idx val="7"/>
              <c:layout>
                <c:manualLayout>
                  <c:x val="-0.11637027739444958"/>
                  <c:y val="-5.1674396054157683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08F-424B-BF09-5DAE20019F73}"/>
                </c:ext>
              </c:extLst>
            </c:dLbl>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('Unit-500 - H2 Production'!$C$13:$C$20,'Unit-500 - H2 Production'!$C$46)</c:f>
              <c:strCache>
                <c:ptCount val="9"/>
                <c:pt idx="0">
                  <c:v>K-501</c:v>
                </c:pt>
                <c:pt idx="1">
                  <c:v>D-501</c:v>
                </c:pt>
                <c:pt idx="2">
                  <c:v>K-502</c:v>
                </c:pt>
                <c:pt idx="3">
                  <c:v>D-502</c:v>
                </c:pt>
                <c:pt idx="4">
                  <c:v>HEX-501</c:v>
                </c:pt>
                <c:pt idx="5">
                  <c:v>C-501</c:v>
                </c:pt>
                <c:pt idx="6">
                  <c:v>C-502</c:v>
                </c:pt>
                <c:pt idx="7">
                  <c:v>V-501</c:v>
                </c:pt>
                <c:pt idx="8">
                  <c:v>PSA-500</c:v>
                </c:pt>
              </c:strCache>
            </c:strRef>
          </c:cat>
          <c:val>
            <c:numRef>
              <c:f>('Unit-500 - H2 Production'!$T$13:$T$20,'Unit-500 - H2 Production'!$T$46)</c:f>
              <c:numCache>
                <c:formatCode>General</c:formatCode>
                <c:ptCount val="9"/>
                <c:pt idx="0">
                  <c:v>6.9307634034883021</c:v>
                </c:pt>
                <c:pt idx="1">
                  <c:v>0.53814884196869539</c:v>
                </c:pt>
                <c:pt idx="2">
                  <c:v>5.6647541566774731</c:v>
                </c:pt>
                <c:pt idx="3">
                  <c:v>0.31528204526203535</c:v>
                </c:pt>
                <c:pt idx="4">
                  <c:v>0.41848948199697111</c:v>
                </c:pt>
                <c:pt idx="5">
                  <c:v>0.16418446224993893</c:v>
                </c:pt>
                <c:pt idx="6">
                  <c:v>0.22964925110005094</c:v>
                </c:pt>
                <c:pt idx="7">
                  <c:v>8.8094062171724524E-2</c:v>
                </c:pt>
                <c:pt idx="8" formatCode="0.00">
                  <c:v>10.075062343221806</c:v>
                </c:pt>
              </c:numCache>
            </c:numRef>
          </c:val>
          <c:extLst xmlns:c15="http://schemas.microsoft.com/office/drawing/2012/chart">
            <c:ext xmlns:c16="http://schemas.microsoft.com/office/drawing/2014/chart" uri="{C3380CC4-5D6E-409C-BE32-E72D297353CC}">
              <c16:uniqueId val="{00000000-DDF3-48E4-BEB9-A027BBA6B669}"/>
            </c:ext>
          </c:extLst>
        </c:ser>
        <c:dLbls>
          <c:showLegendKey val="0"/>
          <c:showVal val="0"/>
          <c:showCatName val="0"/>
          <c:showSerName val="0"/>
          <c:showPercent val="0"/>
          <c:showBubbleSize val="0"/>
          <c:showLeaderLines val="0"/>
        </c:dLbls>
        <c:extLst/>
      </c:pie3DChart>
      <c:spPr>
        <a:noFill/>
        <a:ln>
          <a:noFill/>
        </a:ln>
      </c:spPr>
    </c:plotArea>
    <c:legend>
      <c:legendPos val="b"/>
      <c:layout>
        <c:manualLayout>
          <c:xMode val="edge"/>
          <c:yMode val="edge"/>
          <c:x val="8.7808530923987271E-2"/>
          <c:y val="0.85537171946694324"/>
          <c:w val="0.87454254047721924"/>
          <c:h val="0.14462828053305679"/>
        </c:manualLayout>
      </c:layout>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'Unit-500 - H2 Production'!$C$46</c:f>
          <c:strCache>
            <c:ptCount val="1"/>
            <c:pt idx="0">
              <c:v>PSA-500</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s-ES"/>
        </a:p>
      </c:txPr>
    </c:title>
    <c:autoTitleDeleted val="0"/>
    <c:plotArea>
      <c:layout>
        <c:manualLayout>
          <c:layoutTarget val="inner"/>
          <c:xMode val="edge"/>
          <c:yMode val="edge"/>
          <c:x val="0.12437138815269437"/>
          <c:y val="9.44239790888977E-2"/>
          <c:w val="0.82143203380886809"/>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0-3C40-4D94-9BFE-9FB3A467C68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1-3C40-4D94-9BFE-9FB3A467C68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5-3C40-4D94-9BFE-9FB3A467C68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2-3C40-4D94-9BFE-9FB3A467C68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3-3C40-4D94-9BFE-9FB3A467C683}"/>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4-3C40-4D94-9BFE-9FB3A467C68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'Unit-600 - CO2 CPU'!$E$6</c:f>
              <c:strCache>
                <c:ptCount val="1"/>
                <c:pt idx="0">
                  <c:v>CO₂ CPU</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'Unit-600 - CO2 CPU'!$C$13:$C$22</c:f>
              <c:strCache>
                <c:ptCount val="10"/>
                <c:pt idx="0">
                  <c:v>HEX-601</c:v>
                </c:pt>
                <c:pt idx="1">
                  <c:v>HEX-602</c:v>
                </c:pt>
                <c:pt idx="2">
                  <c:v>V-601</c:v>
                </c:pt>
                <c:pt idx="3">
                  <c:v>V-602</c:v>
                </c:pt>
                <c:pt idx="4">
                  <c:v>K-601</c:v>
                </c:pt>
                <c:pt idx="5">
                  <c:v>K-602</c:v>
                </c:pt>
                <c:pt idx="6">
                  <c:v>D-601</c:v>
                </c:pt>
                <c:pt idx="7">
                  <c:v>C-401</c:v>
                </c:pt>
                <c:pt idx="8">
                  <c:v>C-402</c:v>
                </c:pt>
                <c:pt idx="9">
                  <c:v>P-401</c:v>
                </c:pt>
              </c:strCache>
            </c:strRef>
          </c:cat>
          <c:val>
            <c:numRef>
              <c:f>'Unit-600 - CO2 CPU'!$T$13:$T$22</c:f>
              <c:numCache>
                <c:formatCode>General</c:formatCode>
                <c:ptCount val="10"/>
                <c:pt idx="0">
                  <c:v>0.32312017113149705</c:v>
                </c:pt>
                <c:pt idx="1">
                  <c:v>0.16989861955809316</c:v>
                </c:pt>
                <c:pt idx="2">
                  <c:v>8.8671796768943753E-2</c:v>
                </c:pt>
                <c:pt idx="3">
                  <c:v>1.6874948447825572E-2</c:v>
                </c:pt>
                <c:pt idx="4">
                  <c:v>3.6101463038766581E-2</c:v>
                </c:pt>
                <c:pt idx="5">
                  <c:v>1.7089321766143066</c:v>
                </c:pt>
                <c:pt idx="6">
                  <c:v>0.24798650634329839</c:v>
                </c:pt>
                <c:pt idx="7">
                  <c:v>0.41520486703350301</c:v>
                </c:pt>
                <c:pt idx="8">
                  <c:v>0.17915720965659879</c:v>
                </c:pt>
                <c:pt idx="9">
                  <c:v>0.15842390304072523</c:v>
                </c:pt>
              </c:numCache>
            </c:numRef>
          </c:val>
          <c:extLst xmlns:c15="http://schemas.microsoft.com/office/drawing/2012/chart">
            <c:ext xmlns:c16="http://schemas.microsoft.com/office/drawing/2014/chart" uri="{C3380CC4-5D6E-409C-BE32-E72D297353CC}">
              <c16:uniqueId val="{00000000-2ED7-48DF-94A7-CB6BF909611C}"/>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'Unit-700 - CWT'!$C$13</c:f>
          <c:strCache>
            <c:ptCount val="1"/>
            <c:pt idx="0">
              <c:v>CWT-700</c:v>
            </c:pt>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'Unit-700 - CWT'!$C$13</c:f>
              <c:strCache>
                <c:ptCount val="1"/>
                <c:pt idx="0">
                  <c:v>CWT-700</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B7C-47A1-9809-F19277DA9A17}"/>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mn-lt"/>
                    <a:ea typeface="+mn-ea"/>
                    <a:cs typeface="+mn-cs"/>
                  </a:defRPr>
                </a:pPr>
                <a:endParaRPr lang="es-ES"/>
              </a:p>
            </c:tx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'Unit-700 - CWT'!$C$13</c:f>
              <c:strCache>
                <c:ptCount val="1"/>
                <c:pt idx="0">
                  <c:v>CWT-700</c:v>
                </c:pt>
              </c:strCache>
            </c:strRef>
          </c:cat>
          <c:val>
            <c:numRef>
              <c:f>'Unit-700 - CWT'!$S$13</c:f>
              <c:numCache>
                <c:formatCode>0.0</c:formatCode>
                <c:ptCount val="1"/>
                <c:pt idx="0">
                  <c:v>0.71095932885207624</c:v>
                </c:pt>
              </c:numCache>
            </c:numRef>
          </c:val>
          <c:extLst>
            <c:ext xmlns:c16="http://schemas.microsoft.com/office/drawing/2014/chart" uri="{C3380CC4-5D6E-409C-BE32-E72D297353CC}">
              <c16:uniqueId val="{00000000-7028-49CD-B5DF-4195A1AD51AB}"/>
            </c:ext>
          </c:extLst>
        </c:ser>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'Plant CAPEX'!$B$13</c:f>
              <c:strCache>
                <c:ptCount val="1"/>
                <c:pt idx="0">
                  <c:v>Total Overnight Costs (TOC)</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'Plant CAPEX'!$D$4:$J$4</c:f>
              <c:strCache>
                <c:ptCount val="7"/>
                <c:pt idx="0">
                  <c:v>NG Pre-treating</c:v>
                </c:pt>
                <c:pt idx="1">
                  <c:v>GSR</c:v>
                </c:pt>
                <c:pt idx="2">
                  <c:v>Power Cycle</c:v>
                </c:pt>
                <c:pt idx="3">
                  <c:v>WGS</c:v>
                </c:pt>
                <c:pt idx="4">
                  <c:v>H₂ Production</c:v>
                </c:pt>
                <c:pt idx="5">
                  <c:v>CO₂ CPU</c:v>
                </c:pt>
                <c:pt idx="6">
                  <c:v>CWT</c:v>
                </c:pt>
              </c:strCache>
            </c:strRef>
          </c:cat>
          <c:val>
            <c:numRef>
              <c:f>'Plant CAPEX'!$D$13:$J$13</c:f>
              <c:numCache>
                <c:formatCode>0.0</c:formatCode>
                <c:ptCount val="7"/>
                <c:pt idx="0">
                  <c:v>9.0181955001520944</c:v>
                </c:pt>
                <c:pt idx="1">
                  <c:v>15.88296020382711</c:v>
                </c:pt>
                <c:pt idx="2">
                  <c:v>19.151807560795564</c:v>
                </c:pt>
                <c:pt idx="3">
                  <c:v>4.484939983839511</c:v>
                </c:pt>
                <c:pt idx="4">
                  <c:v>37.076281777071962</c:v>
                </c:pt>
                <c:pt idx="5">
                  <c:v>5.3838102910708869</c:v>
                </c:pt>
                <c:pt idx="6">
                  <c:v>2.0177025752821924</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2.7620883835244067E-2"/>
          <c:y val="0.93200188699017295"/>
          <c:w val="0.90694227383401826"/>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extLst>
                <c:ext xmlns:c15="http://schemas.microsoft.com/office/drawing/2012/chart" uri="{02D57815-91ED-43cb-92C2-25804820EDAC}">
                  <c15:fullRef>
                    <c15:sqref>'Plant OPEX'!$W$14:$W$17</c15:sqref>
                  </c15:fullRef>
                </c:ext>
              </c:extLst>
              <c:f>('Plant OPEX'!$W$14:$W$15,'Plant OPEX'!$W$17)</c:f>
              <c:strCache>
                <c:ptCount val="3"/>
                <c:pt idx="0">
                  <c:v>Total FOM</c:v>
                </c:pt>
                <c:pt idx="1">
                  <c:v>NG</c:v>
                </c:pt>
                <c:pt idx="2">
                  <c:v>Total VOM (exl. Fuel &amp; CO2 tax)</c:v>
                </c:pt>
              </c:strCache>
            </c:strRef>
          </c:cat>
          <c:val>
            <c:numRef>
              <c:extLst>
                <c:ext xmlns:c15="http://schemas.microsoft.com/office/drawing/2012/chart" uri="{02D57815-91ED-43cb-92C2-25804820EDAC}">
                  <c15:fullRef>
                    <c15:sqref>('Plant OPEX'!$G$19,'Plant OPEX'!$N$16,'Plant OPEX'!$N$17,'Plant OPEX'!$U$25)</c15:sqref>
                  </c15:fullRef>
                </c:ext>
              </c:extLst>
              <c:f>('Plant OPEX'!$G$19,'Plant OPEX'!$N$16,'Plant OPEX'!$U$25)</c:f>
              <c:numCache>
                <c:formatCode>0.00</c:formatCode>
                <c:ptCount val="3"/>
                <c:pt idx="0">
                  <c:v>4.4555492782592774</c:v>
                </c:pt>
                <c:pt idx="1">
                  <c:v>26.459201480399997</c:v>
                </c:pt>
                <c:pt idx="2">
                  <c:v>6.5171040267108857</c:v>
                </c:pt>
              </c:numCache>
            </c:numRef>
          </c:val>
          <c:extLst>
            <c:ext xmlns:c15="http://schemas.microsoft.com/office/drawing/2012/chart" uri="{02D57815-91ED-43cb-92C2-25804820EDAC}">
              <c15:categoryFilterExceptions>
                <c15:categoryFilterException>
                  <c15:sqref>'Plant OPEX'!$N$17</c15:sqref>
                  <c15:spPr xmlns:c15="http://schemas.microsoft.com/office/drawing/2012/chart">
                    <a:solidFill>
                      <a:schemeClr val="accent3"/>
                    </a:solidFill>
                    <a:ln w="19050">
                      <a:solidFill>
                        <a:schemeClr val="lt1"/>
                      </a:solidFill>
                    </a:ln>
                    <a:effectLst/>
                  </c15:spPr>
                  <c15:bubble3D val="0"/>
                </c15:categoryFilterException>
              </c15:categoryFilterExceptions>
            </c:ex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GSR-H₂ </c:v>
                </c:pt>
                <c:pt idx="1">
                  <c:v>Reference</c:v>
                </c:pt>
              </c:strCache>
            </c:strRef>
          </c:cat>
          <c:val>
            <c:numRef>
              <c:f>'Cash Flow Analysis'!$H$17:$I$17</c:f>
              <c:numCache>
                <c:formatCode>General</c:formatCode>
                <c:ptCount val="2"/>
                <c:pt idx="0" formatCode="0.000">
                  <c:v>0.41275354974375744</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GSR-H₂ </c:v>
                </c:pt>
                <c:pt idx="1">
                  <c:v>Reference</c:v>
                </c:pt>
              </c:strCache>
            </c:strRef>
          </c:cat>
          <c:val>
            <c:numRef>
              <c:f>'Cash Flow Analysis'!$H$18:$I$18</c:f>
              <c:numCache>
                <c:formatCode>General</c:formatCode>
                <c:ptCount val="2"/>
                <c:pt idx="0" formatCode="0.000">
                  <c:v>0.16892684333938834</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NG</c:v>
                </c:pt>
              </c:strCache>
            </c:strRef>
          </c:tx>
          <c:spPr>
            <a:solidFill>
              <a:schemeClr val="accent2"/>
            </a:solidFill>
            <a:ln>
              <a:noFill/>
            </a:ln>
            <a:effectLst/>
          </c:spPr>
          <c:invertIfNegative val="0"/>
          <c:cat>
            <c:strRef>
              <c:f>'Cash Flow Analysis'!$H$14:$I$14</c:f>
              <c:strCache>
                <c:ptCount val="2"/>
                <c:pt idx="0">
                  <c:v>GSR-H₂ </c:v>
                </c:pt>
                <c:pt idx="1">
                  <c:v>Reference</c:v>
                </c:pt>
              </c:strCache>
            </c:strRef>
          </c:cat>
          <c:val>
            <c:numRef>
              <c:f>'Cash Flow Analysis'!$H$21:$I$21</c:f>
              <c:numCache>
                <c:formatCode>General</c:formatCode>
                <c:ptCount val="2"/>
                <c:pt idx="0" formatCode="0.000">
                  <c:v>0.87866687106000274</c:v>
                </c:pt>
              </c:numCache>
            </c:numRef>
          </c:val>
          <c:extLst>
            <c:ext xmlns:c16="http://schemas.microsoft.com/office/drawing/2014/chart" uri="{C3380CC4-5D6E-409C-BE32-E72D297353CC}">
              <c16:uniqueId val="{00000001-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GSR-H₂ </c:v>
                </c:pt>
                <c:pt idx="1">
                  <c:v>Reference</c:v>
                </c:pt>
              </c:strCache>
            </c:strRef>
          </c:cat>
          <c:val>
            <c:numRef>
              <c:f>'Cash Flow Analysis'!$H$19:$I$19</c:f>
              <c:numCache>
                <c:formatCode>General</c:formatCode>
                <c:ptCount val="2"/>
                <c:pt idx="0" formatCode="0.000">
                  <c:v>0.21642238174740369</c:v>
                </c:pt>
              </c:numCache>
            </c:numRef>
          </c:val>
          <c:extLst>
            <c:ext xmlns:c16="http://schemas.microsoft.com/office/drawing/2014/chart" uri="{C3380CC4-5D6E-409C-BE32-E72D297353CC}">
              <c16:uniqueId val="{00000004-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4"/>
                <c:order val="3"/>
                <c:tx>
                  <c:strRef>
                    <c:extLst>
                      <c:ext uri="{02D57815-91ED-43cb-92C2-25804820EDAC}">
                        <c15:formulaRef>
                          <c15:sqref>'Cash Flow Analysis'!$G$22</c15:sqref>
                        </c15:formulaRef>
                      </c:ext>
                    </c:extLst>
                    <c:strCache>
                      <c:ptCount val="1"/>
                      <c:pt idx="0">
                        <c:v>-</c:v>
                      </c:pt>
                    </c:strCache>
                  </c:strRef>
                </c:tx>
                <c:spPr>
                  <a:solidFill>
                    <a:schemeClr val="accent6"/>
                  </a:solidFill>
                  <a:ln>
                    <a:noFill/>
                  </a:ln>
                  <a:effectLst/>
                </c:spPr>
                <c:invertIfNegative val="0"/>
                <c:cat>
                  <c:strRef>
                    <c:extLst>
                      <c:ext uri="{02D57815-91ED-43cb-92C2-25804820EDAC}">
                        <c15:formulaRef>
                          <c15:sqref>'Cash Flow Analysis'!$H$14:$I$14</c15:sqref>
                        </c15:formulaRef>
                      </c:ext>
                    </c:extLst>
                    <c:strCache>
                      <c:ptCount val="2"/>
                      <c:pt idx="0">
                        <c:v>GSR-H₂ </c:v>
                      </c:pt>
                      <c:pt idx="1">
                        <c:v>Reference</c:v>
                      </c:pt>
                    </c:strCache>
                  </c:strRef>
                </c:cat>
                <c:val>
                  <c:numRef>
                    <c:extLst>
                      <c:ext uri="{02D57815-91ED-43cb-92C2-25804820EDAC}">
                        <c15:formulaRef>
                          <c15:sqref>'Cash Flow Analysis'!$H$22:$I$22</c15:sqref>
                        </c15:formulaRef>
                      </c:ext>
                    </c:extLst>
                    <c:numCache>
                      <c:formatCode>General</c:formatCode>
                      <c:ptCount val="2"/>
                      <c:pt idx="0" formatCode="0.000">
                        <c:v>0</c:v>
                      </c:pt>
                    </c:numCache>
                  </c:numRef>
                </c:val>
                <c:extLst>
                  <c:ext xmlns:c16="http://schemas.microsoft.com/office/drawing/2014/chart" uri="{C3380CC4-5D6E-409C-BE32-E72D297353CC}">
                    <c16:uniqueId val="{00000002-FF10-4AD3-8E66-141EEEED3947}"/>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'Cash Flow Analysis'!$G$20</c15:sqref>
                        </c15:formulaRef>
                      </c:ext>
                    </c:extLst>
                    <c:strCache>
                      <c:ptCount val="1"/>
                      <c:pt idx="0">
                        <c:v>CO2 tax</c:v>
                      </c:pt>
                    </c:strCache>
                  </c:strRef>
                </c:tx>
                <c:spPr>
                  <a:solidFill>
                    <a:schemeClr val="tx1"/>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Analysis'!$H$20:$I$20</c15:sqref>
                        </c15:formulaRef>
                      </c:ext>
                    </c:extLst>
                    <c:numCache>
                      <c:formatCode>General</c:formatCode>
                      <c:ptCount val="2"/>
                      <c:pt idx="0" formatCode="0.000">
                        <c:v>0</c:v>
                      </c:pt>
                    </c:numCache>
                  </c:numRef>
                </c:val>
                <c:extLst xmlns:c15="http://schemas.microsoft.com/office/drawing/2012/chart">
                  <c:ext xmlns:c16="http://schemas.microsoft.com/office/drawing/2014/chart" uri="{C3380CC4-5D6E-409C-BE32-E72D297353CC}">
                    <c16:uniqueId val="{00000005-FF10-4AD3-8E66-141EEEED3947}"/>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Analysis'!$H$16:$I$16</c15:sqref>
                        </c15:formulaRef>
                      </c:ext>
                    </c:extLst>
                    <c:numCache>
                      <c:formatCode>General</c:formatCode>
                      <c:ptCount val="2"/>
                      <c:pt idx="0" formatCode="0.000">
                        <c:v>1.6767696458905523</c:v>
                      </c:pt>
                    </c:numCache>
                  </c:numRef>
                </c:val>
                <c:extLst xmlns:c15="http://schemas.microsoft.com/office/drawing/2012/char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0.00</c:formatCode>
                <c:ptCount val="44"/>
                <c:pt idx="0" formatCode="General">
                  <c:v>0</c:v>
                </c:pt>
                <c:pt idx="1">
                  <c:v>-28.18657383774266</c:v>
                </c:pt>
                <c:pt idx="2">
                  <c:v>-53.810731872054163</c:v>
                </c:pt>
                <c:pt idx="3">
                  <c:v>-77.105420994155537</c:v>
                </c:pt>
                <c:pt idx="4">
                  <c:v>-72.372204437935707</c:v>
                </c:pt>
                <c:pt idx="5">
                  <c:v>-65.350253490213817</c:v>
                </c:pt>
                <c:pt idx="6">
                  <c:v>-58.966661719557564</c:v>
                </c:pt>
                <c:pt idx="7">
                  <c:v>-53.163396473506424</c:v>
                </c:pt>
                <c:pt idx="8">
                  <c:v>-47.887700795278114</c:v>
                </c:pt>
                <c:pt idx="9">
                  <c:v>-43.091613815070559</c:v>
                </c:pt>
                <c:pt idx="10">
                  <c:v>-38.731534742154601</c:v>
                </c:pt>
                <c:pt idx="11">
                  <c:v>-34.767826494049181</c:v>
                </c:pt>
                <c:pt idx="12">
                  <c:v>-31.164455359407896</c:v>
                </c:pt>
                <c:pt idx="13">
                  <c:v>-27.888663418824908</c:v>
                </c:pt>
                <c:pt idx="14">
                  <c:v>-24.910670745567646</c:v>
                </c:pt>
                <c:pt idx="15">
                  <c:v>-22.203404678970138</c:v>
                </c:pt>
                <c:pt idx="16">
                  <c:v>-19.742253709336037</c:v>
                </c:pt>
                <c:pt idx="17">
                  <c:v>-17.5048437369414</c:v>
                </c:pt>
                <c:pt idx="18">
                  <c:v>-15.470834671128094</c:v>
                </c:pt>
                <c:pt idx="19">
                  <c:v>-13.621735520388725</c:v>
                </c:pt>
                <c:pt idx="20">
                  <c:v>-11.940736292443844</c:v>
                </c:pt>
                <c:pt idx="21">
                  <c:v>-10.412555176130317</c:v>
                </c:pt>
                <c:pt idx="22">
                  <c:v>-9.0232996158452927</c:v>
                </c:pt>
                <c:pt idx="23">
                  <c:v>-7.7603400155861797</c:v>
                </c:pt>
                <c:pt idx="24">
                  <c:v>-6.612194924441531</c:v>
                </c:pt>
                <c:pt idx="25">
                  <c:v>-5.5684266597645777</c:v>
                </c:pt>
                <c:pt idx="26">
                  <c:v>-4.6195464191491658</c:v>
                </c:pt>
                <c:pt idx="27">
                  <c:v>-3.7569280185897007</c:v>
                </c:pt>
                <c:pt idx="28">
                  <c:v>-2.9727294726265505</c:v>
                </c:pt>
                <c:pt idx="29">
                  <c:v>-2.2598217035691412</c:v>
                </c:pt>
                <c:pt idx="30">
                  <c:v>-1.6117237316987694</c:v>
                </c:pt>
                <c:pt idx="31">
                  <c:v>-1.0225437572711586</c:v>
                </c:pt>
                <c:pt idx="32">
                  <c:v>-0.48692559870060348</c:v>
                </c:pt>
                <c:pt idx="33">
                  <c:v>-9.8809849191638932E-14</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0.00</c:formatCode>
                <c:ptCount val="44"/>
                <c:pt idx="0" formatCode="General">
                  <c:v>0</c:v>
                </c:pt>
                <c:pt idx="1">
                  <c:v>-31.005231221516926</c:v>
                </c:pt>
                <c:pt idx="2">
                  <c:v>-62.010462443033852</c:v>
                </c:pt>
                <c:pt idx="3">
                  <c:v>-93.015693664550781</c:v>
                </c:pt>
                <c:pt idx="4">
                  <c:v>-86.085791304589321</c:v>
                </c:pt>
                <c:pt idx="5">
                  <c:v>-74.776869083773747</c:v>
                </c:pt>
                <c:pt idx="6">
                  <c:v>-63.467946862958172</c:v>
                </c:pt>
                <c:pt idx="7">
                  <c:v>-52.159024642142597</c:v>
                </c:pt>
                <c:pt idx="8">
                  <c:v>-40.850102421327023</c:v>
                </c:pt>
                <c:pt idx="9">
                  <c:v>-29.541180200511448</c:v>
                </c:pt>
                <c:pt idx="10">
                  <c:v>-18.232257979695873</c:v>
                </c:pt>
                <c:pt idx="11">
                  <c:v>-6.9233357588802988</c:v>
                </c:pt>
                <c:pt idx="12">
                  <c:v>4.3855864619352758</c:v>
                </c:pt>
                <c:pt idx="13">
                  <c:v>15.69450868275085</c:v>
                </c:pt>
                <c:pt idx="14">
                  <c:v>27.003430903566425</c:v>
                </c:pt>
                <c:pt idx="15">
                  <c:v>38.312353124382</c:v>
                </c:pt>
                <c:pt idx="16">
                  <c:v>49.621275345197574</c:v>
                </c:pt>
                <c:pt idx="17">
                  <c:v>60.930197566013149</c:v>
                </c:pt>
                <c:pt idx="18">
                  <c:v>72.239119786828724</c:v>
                </c:pt>
                <c:pt idx="19">
                  <c:v>83.548042007644298</c:v>
                </c:pt>
                <c:pt idx="20">
                  <c:v>94.856964228459873</c:v>
                </c:pt>
                <c:pt idx="21">
                  <c:v>106.16588644927545</c:v>
                </c:pt>
                <c:pt idx="22">
                  <c:v>117.47480867009102</c:v>
                </c:pt>
                <c:pt idx="23">
                  <c:v>128.78373089090661</c:v>
                </c:pt>
                <c:pt idx="24">
                  <c:v>140.0926531117222</c:v>
                </c:pt>
                <c:pt idx="25">
                  <c:v>151.40157533253779</c:v>
                </c:pt>
                <c:pt idx="26">
                  <c:v>162.71049755335338</c:v>
                </c:pt>
                <c:pt idx="27">
                  <c:v>174.01941977416897</c:v>
                </c:pt>
                <c:pt idx="28">
                  <c:v>185.32834199498456</c:v>
                </c:pt>
                <c:pt idx="29">
                  <c:v>196.63726421580014</c:v>
                </c:pt>
                <c:pt idx="30">
                  <c:v>207.94618643661573</c:v>
                </c:pt>
                <c:pt idx="31">
                  <c:v>219.25510865743132</c:v>
                </c:pt>
                <c:pt idx="32">
                  <c:v>230.56403087824691</c:v>
                </c:pt>
                <c:pt idx="33">
                  <c:v>241.8729530990625</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Electricity</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pt idx="0">
                  <c:v>20</c:v>
                </c:pt>
                <c:pt idx="1">
                  <c:v>40</c:v>
                </c:pt>
                <c:pt idx="2">
                  <c:v>60</c:v>
                </c:pt>
                <c:pt idx="3">
                  <c:v>80</c:v>
                </c:pt>
                <c:pt idx="4">
                  <c:v>100</c:v>
                </c:pt>
              </c:numCache>
            </c:numRef>
          </c:xVal>
          <c:yVal>
            <c:numRef>
              <c:f>'Cash Flow Analysis'!$S$44:$S$49</c:f>
              <c:numCache>
                <c:formatCode>0.00</c:formatCode>
                <c:ptCount val="6"/>
                <c:pt idx="0">
                  <c:v>1.6184762468162333</c:v>
                </c:pt>
                <c:pt idx="1">
                  <c:v>1.6476229463533925</c:v>
                </c:pt>
                <c:pt idx="2">
                  <c:v>1.6767696458905517</c:v>
                </c:pt>
                <c:pt idx="3">
                  <c:v>1.7059163454277118</c:v>
                </c:pt>
                <c:pt idx="4">
                  <c:v>1.7350630449648703</c:v>
                </c:pt>
              </c:numCache>
            </c:numRef>
          </c:yVal>
          <c:smooth val="1"/>
          <c:extLst>
            <c:ext xmlns:c16="http://schemas.microsoft.com/office/drawing/2014/chart" uri="{C3380CC4-5D6E-409C-BE32-E72D297353CC}">
              <c16:uniqueId val="{00000000-7254-4854-A4DD-D8099E6BC1F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Electricity price (€/MWh)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max val="2.5"/>
          <c:min val="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LCOH (€/kg)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NG 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pt idx="0">
                  <c:v>3.5</c:v>
                </c:pt>
                <c:pt idx="1">
                  <c:v>5</c:v>
                </c:pt>
                <c:pt idx="2">
                  <c:v>6.5</c:v>
                </c:pt>
                <c:pt idx="3">
                  <c:v>8</c:v>
                </c:pt>
                <c:pt idx="4">
                  <c:v>9.5</c:v>
                </c:pt>
              </c:numCache>
            </c:numRef>
          </c:xVal>
          <c:yVal>
            <c:numRef>
              <c:f>'Cash Flow Analysis'!$Q$44:$Q$49</c:f>
              <c:numCache>
                <c:formatCode>0.00</c:formatCode>
                <c:ptCount val="6"/>
                <c:pt idx="0">
                  <c:v>1.2712310900167054</c:v>
                </c:pt>
                <c:pt idx="1">
                  <c:v>1.4740003679536282</c:v>
                </c:pt>
                <c:pt idx="2">
                  <c:v>1.6767696458905521</c:v>
                </c:pt>
                <c:pt idx="3">
                  <c:v>1.8795389238274758</c:v>
                </c:pt>
                <c:pt idx="4">
                  <c:v>2.0823082017643983</c:v>
                </c:pt>
              </c:numCache>
            </c:numRef>
          </c:yVal>
          <c:smooth val="1"/>
          <c:extLst>
            <c:ext xmlns:c16="http://schemas.microsoft.com/office/drawing/2014/chart" uri="{C3380CC4-5D6E-409C-BE32-E72D297353CC}">
              <c16:uniqueId val="{00000000-9A48-4107-871A-927A6915EEFC}"/>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NG</a:t>
                </a:r>
                <a:r>
                  <a:rPr lang="en-US" baseline="0"/>
                  <a:t> price</a:t>
                </a:r>
                <a:r>
                  <a:rPr lang="en-US"/>
                  <a:t>(€/GJ)</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max val="2.5"/>
          <c:min val="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LCOH (€/kg)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s-ES"/>
        </a:p>
      </c:txPr>
    </c:title>
    <c:autoTitleDeleted val="0"/>
    <c:plotArea>
      <c:layout>
        <c:manualLayout>
          <c:layoutTarget val="inner"/>
          <c:xMode val="edge"/>
          <c:yMode val="edge"/>
          <c:x val="0.15947198763223241"/>
          <c:y val="9.44239790888977E-2"/>
          <c:w val="0.78633138392133306"/>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1-30EE-4962-AACD-A21C6F585FE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0-30EE-4962-AACD-A21C6F585FE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1-F2C8-4770-9F54-96B6F9DFBAE7}"/>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2-F2C8-4770-9F54-96B6F9DFBAE7}"/>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6171084321838522"/>
          <c:y val="9.7348962839907474E-2"/>
          <c:w val="0.80173967082193387"/>
          <c:h val="0.82843481779296779"/>
        </c:manualLayout>
      </c:layout>
      <c:barChart>
        <c:barDir val="col"/>
        <c:grouping val="clustered"/>
        <c:varyColors val="0"/>
        <c:ser>
          <c:idx val="0"/>
          <c:order val="0"/>
          <c:tx>
            <c:strRef>
              <c:f>'Estimate Benchmark'!$J$31:$J$34</c:f>
              <c:strCache>
                <c:ptCount val="4"/>
                <c:pt idx="0">
                  <c:v>Estimate</c:v>
                </c:pt>
                <c:pt idx="1">
                  <c:v>IEAGHG</c:v>
                </c:pt>
                <c:pt idx="2">
                  <c:v>Spallina</c:v>
                </c:pt>
              </c:strCache>
            </c:strRef>
          </c:tx>
          <c:spPr>
            <a:solidFill>
              <a:schemeClr val="accent1"/>
            </a:solidFill>
            <a:ln>
              <a:noFill/>
            </a:ln>
            <a:effectLst/>
          </c:spPr>
          <c:invertIfNegative val="0"/>
          <c:cat>
            <c:strRef>
              <c:f>'Estimate Benchmark'!$J$31:$J$34</c:f>
              <c:strCache>
                <c:ptCount val="3"/>
                <c:pt idx="0">
                  <c:v>Estimate</c:v>
                </c:pt>
                <c:pt idx="1">
                  <c:v>IEAGHG</c:v>
                </c:pt>
                <c:pt idx="2">
                  <c:v>Spallina</c:v>
                </c:pt>
              </c:strCache>
            </c:strRef>
          </c:cat>
          <c:val>
            <c:numRef>
              <c:f>'Estimate Benchmark'!$K$31:$K$34</c:f>
              <c:numCache>
                <c:formatCode>0.000</c:formatCode>
                <c:ptCount val="4"/>
                <c:pt idx="0">
                  <c:v>14.220271479494432</c:v>
                </c:pt>
                <c:pt idx="1">
                  <c:v>6.5890896469243367</c:v>
                </c:pt>
                <c:pt idx="2">
                  <c:v>7.0586738530057236</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3217B006-60AB-4014-92A4-256F0D14F8FF}">
          <cx:spPr>
            <a:solidFill>
              <a:srgbClr val="C00000"/>
            </a:solidFill>
          </cx:spPr>
          <cx:dataId val="0"/>
          <cx:layoutPr>
            <cx:subtotals/>
          </cx:layoutPr>
        </cx:series>
      </cx:plotAreaRegion>
      <cx:axis id="0">
        <cx:catScaling gapWidth="0.5"/>
        <cx:majorTickMarks type="out"/>
        <cx:tickLabels/>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axis id="1">
        <cx:valScaling/>
        <cx:title>
          <cx:tx>
            <cx:txData>
              <cx:v>Installed cost (M€)</cx:v>
            </cx:txData>
          </cx:tx>
          <cx:txPr>
            <a:bodyPr spcFirstLastPara="1" vertOverflow="ellipsis" horzOverflow="overflow" wrap="square" lIns="0" tIns="0" rIns="0" bIns="0" anchor="ctr" anchorCtr="1"/>
            <a:lstStyle/>
            <a:p>
              <a:pPr algn="ctr" rtl="0">
                <a:defRPr>
                  <a:solidFill>
                    <a:sysClr val="windowText" lastClr="000000"/>
                  </a:solidFill>
                </a:defRPr>
              </a:pPr>
              <a:r>
                <a:rPr lang="en-US" sz="900" b="0" i="0" u="none" strike="noStrike" baseline="0">
                  <a:solidFill>
                    <a:sysClr val="windowText" lastClr="000000"/>
                  </a:solidFill>
                  <a:latin typeface="Calibri" panose="020F0502020204030204"/>
                </a:rPr>
                <a:t>Installed cost (M€)</a:t>
              </a:r>
            </a:p>
          </cx:txPr>
        </cx:title>
        <cx:majorTickMarks type="out"/>
        <cx:tickLabels/>
        <cx:numFmt formatCode="0,0" sourceLinked="0"/>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plotArea>
  </cx:chart>
  <cx:spPr>
    <a:ln>
      <a:noFill/>
    </a:ln>
  </cx:spPr>
  <cx:clrMapOvr bg1="lt1" tx1="dk1" bg2="lt2" tx2="dk2" accent1="accent1" accent2="accent2" accent3="accent3" accent4="accent4" accent5="accent5" accent6="accent6" hlink="hlink" folHlink="folHlink"/>
</cx:chartSpace>
</file>

<file path=xl/charts/chartEx2.xml><?xml version="1.0" encoding="utf-8"?>
<cx:chartSpace xmlns:a="http://schemas.openxmlformats.org/drawingml/2006/main" xmlns:r="http://schemas.openxmlformats.org/officeDocument/2006/relationships" xmlns:cx="http://schemas.microsoft.com/office/drawing/2014/chartex">
  <cx:chart>
    <cx:plotArea>
      <cx:plotAreaRegion/>
    </cx:plotArea>
  </cx:chart>
  <cx:spPr>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drawing2.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4/relationships/chartEx" Target="../charts/chartEx1.xml"/><Relationship Id="rId1" Type="http://schemas.openxmlformats.org/officeDocument/2006/relationships/chart" Target="../charts/chart2.xml"/><Relationship Id="rId4" Type="http://schemas.openxmlformats.org/officeDocument/2006/relationships/image" Target="../media/image17.png"/></Relationships>
</file>

<file path=xl/drawings/_rels/drawing4.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1.png"/><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4/relationships/chartEx" Target="../charts/chartEx2.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chart" Target="../charts/chart9.xml"/><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14.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4" Type="http://schemas.openxmlformats.org/officeDocument/2006/relationships/chart" Target="../charts/chart21.xml"/></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58</xdr:row>
          <xdr:rowOff>22860</xdr:rowOff>
        </xdr:from>
        <xdr:to>
          <xdr:col>23</xdr:col>
          <xdr:colOff>609600</xdr:colOff>
          <xdr:row>59</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58</xdr:row>
          <xdr:rowOff>30480</xdr:rowOff>
        </xdr:from>
        <xdr:to>
          <xdr:col>23</xdr:col>
          <xdr:colOff>1226820</xdr:colOff>
          <xdr:row>59</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62</xdr:row>
          <xdr:rowOff>22860</xdr:rowOff>
        </xdr:from>
        <xdr:to>
          <xdr:col>23</xdr:col>
          <xdr:colOff>609600</xdr:colOff>
          <xdr:row>63</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62</xdr:row>
          <xdr:rowOff>30480</xdr:rowOff>
        </xdr:from>
        <xdr:to>
          <xdr:col>23</xdr:col>
          <xdr:colOff>1226820</xdr:colOff>
          <xdr:row>63</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66</xdr:row>
          <xdr:rowOff>22860</xdr:rowOff>
        </xdr:from>
        <xdr:to>
          <xdr:col>23</xdr:col>
          <xdr:colOff>609600</xdr:colOff>
          <xdr:row>67</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66</xdr:row>
          <xdr:rowOff>30480</xdr:rowOff>
        </xdr:from>
        <xdr:to>
          <xdr:col>23</xdr:col>
          <xdr:colOff>1226820</xdr:colOff>
          <xdr:row>67</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editAs="oneCell">
    <xdr:from>
      <xdr:col>14</xdr:col>
      <xdr:colOff>179069</xdr:colOff>
      <xdr:row>5</xdr:row>
      <xdr:rowOff>224790</xdr:rowOff>
    </xdr:from>
    <xdr:to>
      <xdr:col>26</xdr:col>
      <xdr:colOff>1082400</xdr:colOff>
      <xdr:row>26</xdr:row>
      <xdr:rowOff>148590</xdr:rowOff>
    </xdr:to>
    <xdr:pic>
      <xdr:nvPicPr>
        <xdr:cNvPr id="21" name="Picture 20">
          <a:extLst>
            <a:ext uri="{FF2B5EF4-FFF2-40B4-BE49-F238E27FC236}">
              <a16:creationId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858749" y="1504950"/>
          <a:ext cx="14188801" cy="5684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115010</xdr:colOff>
      <xdr:row>22</xdr:row>
      <xdr:rowOff>234021</xdr:rowOff>
    </xdr:from>
    <xdr:to>
      <xdr:col>7</xdr:col>
      <xdr:colOff>1276862</xdr:colOff>
      <xdr:row>24</xdr:row>
      <xdr:rowOff>134535</xdr:rowOff>
    </xdr:to>
    <xdr:pic>
      <xdr:nvPicPr>
        <xdr:cNvPr id="19" name="Picture 18">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782010" y="6607112"/>
          <a:ext cx="5722422" cy="4817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51999</xdr:colOff>
      <xdr:row>25</xdr:row>
      <xdr:rowOff>228090</xdr:rowOff>
    </xdr:from>
    <xdr:to>
      <xdr:col>7</xdr:col>
      <xdr:colOff>1220028</xdr:colOff>
      <xdr:row>27</xdr:row>
      <xdr:rowOff>168703</xdr:rowOff>
    </xdr:to>
    <xdr:pic>
      <xdr:nvPicPr>
        <xdr:cNvPr id="20" name="Picture 19">
          <a:extLst>
            <a:ext uri="{FF2B5EF4-FFF2-40B4-BE49-F238E27FC236}">
              <a16:creationId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718999" y="7484408"/>
          <a:ext cx="5740029" cy="529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61035</xdr:colOff>
      <xdr:row>28</xdr:row>
      <xdr:rowOff>271074</xdr:rowOff>
    </xdr:from>
    <xdr:to>
      <xdr:col>7</xdr:col>
      <xdr:colOff>1215729</xdr:colOff>
      <xdr:row>30</xdr:row>
      <xdr:rowOff>207878</xdr:rowOff>
    </xdr:to>
    <xdr:pic>
      <xdr:nvPicPr>
        <xdr:cNvPr id="22" name="Picture 21">
          <a:extLst>
            <a:ext uri="{FF2B5EF4-FFF2-40B4-BE49-F238E27FC236}">
              <a16:creationId xmlns:a16="http://schemas.microsoft.com/office/drawing/2014/main" id="{00000000-0008-0000-0100-000016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728035" y="8410619"/>
          <a:ext cx="5726694" cy="5332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926210</xdr:colOff>
      <xdr:row>61</xdr:row>
      <xdr:rowOff>57517</xdr:rowOff>
    </xdr:from>
    <xdr:to>
      <xdr:col>8</xdr:col>
      <xdr:colOff>569975</xdr:colOff>
      <xdr:row>63</xdr:row>
      <xdr:rowOff>17180</xdr:rowOff>
    </xdr:to>
    <xdr:pic>
      <xdr:nvPicPr>
        <xdr:cNvPr id="23" name="Picture 22">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593210" y="17393017"/>
          <a:ext cx="5739765" cy="540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699749</xdr:colOff>
      <xdr:row>63</xdr:row>
      <xdr:rowOff>215550</xdr:rowOff>
    </xdr:from>
    <xdr:to>
      <xdr:col>8</xdr:col>
      <xdr:colOff>322559</xdr:colOff>
      <xdr:row>65</xdr:row>
      <xdr:rowOff>171404</xdr:rowOff>
    </xdr:to>
    <xdr:pic>
      <xdr:nvPicPr>
        <xdr:cNvPr id="25" name="Picture 24">
          <a:extLst>
            <a:ext uri="{FF2B5EF4-FFF2-40B4-BE49-F238E27FC236}">
              <a16:creationId xmlns:a16="http://schemas.microsoft.com/office/drawing/2014/main" id="{00000000-0008-0000-0100-00001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366749" y="18122550"/>
          <a:ext cx="5732145" cy="5406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229623</xdr:colOff>
      <xdr:row>47</xdr:row>
      <xdr:rowOff>123565</xdr:rowOff>
    </xdr:from>
    <xdr:to>
      <xdr:col>7</xdr:col>
      <xdr:colOff>1393503</xdr:colOff>
      <xdr:row>49</xdr:row>
      <xdr:rowOff>85466</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896623" y="13856883"/>
          <a:ext cx="5735880" cy="550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160984</xdr:colOff>
      <xdr:row>49</xdr:row>
      <xdr:rowOff>138153</xdr:rowOff>
    </xdr:from>
    <xdr:to>
      <xdr:col>7</xdr:col>
      <xdr:colOff>1323034</xdr:colOff>
      <xdr:row>51</xdr:row>
      <xdr:rowOff>109244</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827984" y="14460289"/>
          <a:ext cx="5734050" cy="5599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36224</xdr:colOff>
      <xdr:row>51</xdr:row>
      <xdr:rowOff>229574</xdr:rowOff>
    </xdr:from>
    <xdr:to>
      <xdr:col>7</xdr:col>
      <xdr:colOff>1221134</xdr:colOff>
      <xdr:row>53</xdr:row>
      <xdr:rowOff>204479</xdr:rowOff>
    </xdr:to>
    <xdr:pic>
      <xdr:nvPicPr>
        <xdr:cNvPr id="28" name="Picture 27">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703224" y="15140529"/>
          <a:ext cx="5756910" cy="5637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327906</xdr:colOff>
      <xdr:row>40</xdr:row>
      <xdr:rowOff>1043</xdr:rowOff>
    </xdr:from>
    <xdr:to>
      <xdr:col>7</xdr:col>
      <xdr:colOff>1478328</xdr:colOff>
      <xdr:row>41</xdr:row>
      <xdr:rowOff>218922</xdr:rowOff>
    </xdr:to>
    <xdr:pic>
      <xdr:nvPicPr>
        <xdr:cNvPr id="29" name="Picture 28">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994906" y="11673498"/>
          <a:ext cx="5722422" cy="5122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75063</xdr:colOff>
      <xdr:row>42</xdr:row>
      <xdr:rowOff>107566</xdr:rowOff>
    </xdr:from>
    <xdr:to>
      <xdr:col>7</xdr:col>
      <xdr:colOff>1246638</xdr:colOff>
      <xdr:row>44</xdr:row>
      <xdr:rowOff>68708</xdr:rowOff>
    </xdr:to>
    <xdr:pic>
      <xdr:nvPicPr>
        <xdr:cNvPr id="30" name="Picture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742063" y="12368839"/>
          <a:ext cx="5743575" cy="549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156162</xdr:colOff>
      <xdr:row>44</xdr:row>
      <xdr:rowOff>292583</xdr:rowOff>
    </xdr:from>
    <xdr:to>
      <xdr:col>7</xdr:col>
      <xdr:colOff>1329567</xdr:colOff>
      <xdr:row>46</xdr:row>
      <xdr:rowOff>199238</xdr:rowOff>
    </xdr:to>
    <xdr:pic>
      <xdr:nvPicPr>
        <xdr:cNvPr id="31" name="Picture 30">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2823162" y="13142674"/>
          <a:ext cx="5745405" cy="4954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138274</xdr:colOff>
      <xdr:row>34</xdr:row>
      <xdr:rowOff>194678</xdr:rowOff>
    </xdr:from>
    <xdr:to>
      <xdr:col>7</xdr:col>
      <xdr:colOff>1271476</xdr:colOff>
      <xdr:row>37</xdr:row>
      <xdr:rowOff>13530</xdr:rowOff>
    </xdr:to>
    <xdr:pic>
      <xdr:nvPicPr>
        <xdr:cNvPr id="32" name="Picture 31">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805274" y="10100678"/>
          <a:ext cx="5705202" cy="7020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153958</xdr:colOff>
      <xdr:row>37</xdr:row>
      <xdr:rowOff>53334</xdr:rowOff>
    </xdr:from>
    <xdr:to>
      <xdr:col>7</xdr:col>
      <xdr:colOff>1308388</xdr:colOff>
      <xdr:row>39</xdr:row>
      <xdr:rowOff>165729</xdr:rowOff>
    </xdr:to>
    <xdr:pic>
      <xdr:nvPicPr>
        <xdr:cNvPr id="33" name="Picture 32">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820958" y="10842561"/>
          <a:ext cx="5726430" cy="701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18</xdr:col>
          <xdr:colOff>22860</xdr:colOff>
          <xdr:row>58</xdr:row>
          <xdr:rowOff>7620</xdr:rowOff>
        </xdr:from>
        <xdr:to>
          <xdr:col>18</xdr:col>
          <xdr:colOff>1150620</xdr:colOff>
          <xdr:row>60</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61</xdr:row>
          <xdr:rowOff>7620</xdr:rowOff>
        </xdr:from>
        <xdr:to>
          <xdr:col>18</xdr:col>
          <xdr:colOff>1150620</xdr:colOff>
          <xdr:row>62</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64</xdr:row>
          <xdr:rowOff>0</xdr:rowOff>
        </xdr:from>
        <xdr:to>
          <xdr:col>18</xdr:col>
          <xdr:colOff>1143000</xdr:colOff>
          <xdr:row>65</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67</xdr:row>
          <xdr:rowOff>7620</xdr:rowOff>
        </xdr:from>
        <xdr:to>
          <xdr:col>18</xdr:col>
          <xdr:colOff>1150620</xdr:colOff>
          <xdr:row>68</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70</xdr:row>
          <xdr:rowOff>7620</xdr:rowOff>
        </xdr:from>
        <xdr:to>
          <xdr:col>18</xdr:col>
          <xdr:colOff>1143000</xdr:colOff>
          <xdr:row>71</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1905</xdr:colOff>
      <xdr:row>58</xdr:row>
      <xdr:rowOff>82484</xdr:rowOff>
    </xdr:from>
    <xdr:ext cx="6551296" cy="4212425"/>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200-000001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B5560B38-88F2-4BFF-BFCC-D937EB764CD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23</xdr:col>
      <xdr:colOff>1280160</xdr:colOff>
      <xdr:row>7</xdr:row>
      <xdr:rowOff>121920</xdr:rowOff>
    </xdr:from>
    <xdr:to>
      <xdr:col>35</xdr:col>
      <xdr:colOff>856951</xdr:colOff>
      <xdr:row>21</xdr:row>
      <xdr:rowOff>131077</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26913840" y="1615440"/>
          <a:ext cx="12154294" cy="299619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85032</xdr:colOff>
      <xdr:row>57</xdr:row>
      <xdr:rowOff>54776</xdr:rowOff>
    </xdr:from>
    <xdr:ext cx="6329795" cy="4421974"/>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3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900147" y="11825792"/>
              <a:ext cx="7491805" cy="4463526"/>
            </a:xfrm>
            <a:prstGeom prst="rect">
              <a:avLst/>
            </a:prstGeom>
            <a:solidFill>
              <a:prstClr val="white"/>
            </a:solidFill>
            <a:ln w="1">
              <a:solidFill>
                <a:prstClr val="green"/>
              </a:solidFill>
            </a:ln>
          </xdr:spPr>
          <xdr:txBody>
            <a:bodyPr vertOverflow="clip" horzOverflow="clip"/>
            <a:lstStyle/>
            <a:p>
              <a:r>
                <a:rPr lang="es-E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337705</xdr:colOff>
      <xdr:row>4</xdr:row>
      <xdr:rowOff>102178</xdr:rowOff>
    </xdr:from>
    <xdr:to>
      <xdr:col>28</xdr:col>
      <xdr:colOff>170673</xdr:colOff>
      <xdr:row>28</xdr:row>
      <xdr:rowOff>152638</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24588355" y="940378"/>
          <a:ext cx="7571078" cy="5079660"/>
        </a:xfrm>
        <a:prstGeom prst="rect">
          <a:avLst/>
        </a:prstGeom>
      </xdr:spPr>
    </xdr:pic>
    <xdr:clientData/>
  </xdr:twoCellAnchor>
  <xdr:twoCellAnchor editAs="oneCell">
    <xdr:from>
      <xdr:col>32</xdr:col>
      <xdr:colOff>0</xdr:colOff>
      <xdr:row>6</xdr:row>
      <xdr:rowOff>0</xdr:rowOff>
    </xdr:from>
    <xdr:to>
      <xdr:col>37</xdr:col>
      <xdr:colOff>478928</xdr:colOff>
      <xdr:row>26</xdr:row>
      <xdr:rowOff>140778</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4"/>
        <a:stretch>
          <a:fillRect/>
        </a:stretch>
      </xdr:blipFill>
      <xdr:spPr>
        <a:xfrm>
          <a:off x="35426073" y="1246909"/>
          <a:ext cx="4904762" cy="43047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104082</xdr:colOff>
      <xdr:row>59</xdr:row>
      <xdr:rowOff>54776</xdr:rowOff>
    </xdr:from>
    <xdr:ext cx="6329795" cy="4060024"/>
    <xdr:graphicFrame macro="">
      <xdr:nvGraphicFramePr>
        <xdr:cNvPr id="2" name="Gráfico 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0400-0000014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13B121E1-5A5F-4E29-8A0B-B91D19B6688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1316181</xdr:colOff>
      <xdr:row>6</xdr:row>
      <xdr:rowOff>41563</xdr:rowOff>
    </xdr:from>
    <xdr:to>
      <xdr:col>28</xdr:col>
      <xdr:colOff>98587</xdr:colOff>
      <xdr:row>26</xdr:row>
      <xdr:rowOff>18531</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25436945" y="1288472"/>
          <a:ext cx="6552381" cy="41428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2</xdr:col>
      <xdr:colOff>46932</xdr:colOff>
      <xdr:row>57</xdr:row>
      <xdr:rowOff>111926</xdr:rowOff>
    </xdr:from>
    <xdr:ext cx="6525318" cy="4574374"/>
    <xdr:graphicFrame macro="">
      <xdr:nvGraphicFramePr>
        <xdr:cNvPr id="2" name="Gráfico 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0500-0000014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5BF5B363-7BF8-4646-A9EA-F07F302EC81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332509</xdr:colOff>
      <xdr:row>4</xdr:row>
      <xdr:rowOff>41564</xdr:rowOff>
    </xdr:from>
    <xdr:to>
      <xdr:col>26</xdr:col>
      <xdr:colOff>587259</xdr:colOff>
      <xdr:row>28</xdr:row>
      <xdr:rowOff>170065</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24453273" y="872837"/>
          <a:ext cx="5872075" cy="511232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2</xdr:col>
      <xdr:colOff>22167</xdr:colOff>
      <xdr:row>57</xdr:row>
      <xdr:rowOff>54776</xdr:rowOff>
    </xdr:from>
    <xdr:ext cx="6329795" cy="4647852"/>
    <xdr:graphicFrame macro="">
      <xdr:nvGraphicFramePr>
        <xdr:cNvPr id="2" name="Gráfico 9">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0600-0000015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2EDABE53-F064-4FCE-9992-41563502BCF3}"/>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285404</xdr:colOff>
      <xdr:row>5</xdr:row>
      <xdr:rowOff>155172</xdr:rowOff>
    </xdr:from>
    <xdr:to>
      <xdr:col>28</xdr:col>
      <xdr:colOff>288761</xdr:colOff>
      <xdr:row>27</xdr:row>
      <xdr:rowOff>167934</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24334124" y="1221972"/>
          <a:ext cx="7787187" cy="470287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30</xdr:col>
          <xdr:colOff>822960</xdr:colOff>
          <xdr:row>5</xdr:row>
          <xdr:rowOff>60960</xdr:rowOff>
        </xdr:from>
        <xdr:to>
          <xdr:col>38</xdr:col>
          <xdr:colOff>784860</xdr:colOff>
          <xdr:row>28</xdr:row>
          <xdr:rowOff>137160</xdr:rowOff>
        </xdr:to>
        <xdr:sp macro="" textlink="">
          <xdr:nvSpPr>
            <xdr:cNvPr id="282629" name="Object 5" hidden="1">
              <a:extLst>
                <a:ext uri="{63B3BB69-23CF-44E3-9099-C40C66FF867C}">
                  <a14:compatExt spid="_x0000_s282629"/>
                </a:ext>
                <a:ext uri="{FF2B5EF4-FFF2-40B4-BE49-F238E27FC236}">
                  <a16:creationId xmlns:a16="http://schemas.microsoft.com/office/drawing/2014/main" id="{00000000-0008-0000-0600-00000550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57</xdr:row>
      <xdr:rowOff>0</xdr:rowOff>
    </xdr:from>
    <xdr:to>
      <xdr:col>14</xdr:col>
      <xdr:colOff>0</xdr:colOff>
      <xdr:row>79</xdr:row>
      <xdr:rowOff>0</xdr:rowOff>
    </xdr:to>
    <xdr:graphicFrame macro="">
      <xdr:nvGraphicFramePr>
        <xdr:cNvPr id="9" name="Gráfico 3">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2</xdr:col>
      <xdr:colOff>218382</xdr:colOff>
      <xdr:row>57</xdr:row>
      <xdr:rowOff>207176</xdr:rowOff>
    </xdr:from>
    <xdr:ext cx="6329795" cy="4420242"/>
    <xdr:graphicFrame macro="">
      <xdr:nvGraphicFramePr>
        <xdr:cNvPr id="2" name="Gráfico 9">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3649" name="Button 1" hidden="1">
              <a:extLst>
                <a:ext uri="{63B3BB69-23CF-44E3-9099-C40C66FF867C}">
                  <a14:compatExt spid="_x0000_s283649"/>
                </a:ext>
                <a:ext uri="{FF2B5EF4-FFF2-40B4-BE49-F238E27FC236}">
                  <a16:creationId xmlns:a16="http://schemas.microsoft.com/office/drawing/2014/main" id="{00000000-0008-0000-0700-0000015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EEB51C6E-3453-4FEB-9BCF-BD46BE5C52ED}"/>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900147" y="11825792"/>
              <a:ext cx="7491805" cy="4463526"/>
            </a:xfrm>
            <a:prstGeom prst="rect">
              <a:avLst/>
            </a:prstGeom>
            <a:solidFill>
              <a:prstClr val="white"/>
            </a:solidFill>
            <a:ln w="1">
              <a:solidFill>
                <a:prstClr val="green"/>
              </a:solidFill>
            </a:ln>
          </xdr:spPr>
          <xdr:txBody>
            <a:bodyPr vertOverflow="clip" horzOverflow="clip"/>
            <a:lstStyle/>
            <a:p>
              <a:r>
                <a:rPr lang="es-E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296865</xdr:colOff>
      <xdr:row>4</xdr:row>
      <xdr:rowOff>107374</xdr:rowOff>
    </xdr:from>
    <xdr:to>
      <xdr:col>26</xdr:col>
      <xdr:colOff>95630</xdr:colOff>
      <xdr:row>27</xdr:row>
      <xdr:rowOff>2426</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3"/>
        <a:stretch>
          <a:fillRect/>
        </a:stretch>
      </xdr:blipFill>
      <xdr:spPr>
        <a:xfrm>
          <a:off x="24417629" y="938647"/>
          <a:ext cx="5427520" cy="466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85697" name="Button 1" hidden="1">
              <a:extLst>
                <a:ext uri="{63B3BB69-23CF-44E3-9099-C40C66FF867C}">
                  <a14:compatExt spid="_x0000_s285697"/>
                </a:ext>
                <a:ext uri="{FF2B5EF4-FFF2-40B4-BE49-F238E27FC236}">
                  <a16:creationId xmlns:a16="http://schemas.microsoft.com/office/drawing/2014/main" id="{00000000-0008-0000-0800-0000015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282287</xdr:colOff>
      <xdr:row>41</xdr:row>
      <xdr:rowOff>103562</xdr:rowOff>
    </xdr:from>
    <xdr:to>
      <xdr:col>5</xdr:col>
      <xdr:colOff>1087581</xdr:colOff>
      <xdr:row>60</xdr:row>
      <xdr:rowOff>110490</xdr:rowOff>
    </xdr:to>
    <xdr:graphicFrame macro="">
      <xdr:nvGraphicFramePr>
        <xdr:cNvPr id="4" name="Gráfico 5">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C067B063-CF17-4A90-9305-2DA2F1436442}"/>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26</xdr:col>
      <xdr:colOff>121920</xdr:colOff>
      <xdr:row>13</xdr:row>
      <xdr:rowOff>182880</xdr:rowOff>
    </xdr:from>
    <xdr:to>
      <xdr:col>31</xdr:col>
      <xdr:colOff>203235</xdr:colOff>
      <xdr:row>24</xdr:row>
      <xdr:rowOff>201593</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stretch>
          <a:fillRect/>
        </a:stretch>
      </xdr:blipFill>
      <xdr:spPr>
        <a:xfrm>
          <a:off x="32705040" y="3352800"/>
          <a:ext cx="4800000" cy="26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11</xdr:col>
      <xdr:colOff>552105</xdr:colOff>
      <xdr:row>2</xdr:row>
      <xdr:rowOff>150668</xdr:rowOff>
    </xdr:from>
    <xdr:to>
      <xdr:col>15</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9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9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9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900-00000A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0</xdr:row>
          <xdr:rowOff>30480</xdr:rowOff>
        </xdr:from>
        <xdr:to>
          <xdr:col>2</xdr:col>
          <xdr:colOff>3108960</xdr:colOff>
          <xdr:row>0</xdr:row>
          <xdr:rowOff>365760</xdr:rowOff>
        </xdr:to>
        <xdr:sp macro="" textlink="">
          <xdr:nvSpPr>
            <xdr:cNvPr id="41995" name="Button 11" hidden="1">
              <a:extLst>
                <a:ext uri="{63B3BB69-23CF-44E3-9099-C40C66FF867C}">
                  <a14:compatExt spid="_x0000_s41995"/>
                </a:ext>
                <a:ext uri="{FF2B5EF4-FFF2-40B4-BE49-F238E27FC236}">
                  <a16:creationId xmlns:a16="http://schemas.microsoft.com/office/drawing/2014/main" id="{00000000-0008-0000-0900-00000B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A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A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A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A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A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A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A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B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B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9" name="Button 33" hidden="1">
              <a:extLst>
                <a:ext uri="{63B3BB69-23CF-44E3-9099-C40C66FF867C}">
                  <a14:compatExt spid="_x0000_s203809"/>
                </a:ext>
                <a:ext uri="{FF2B5EF4-FFF2-40B4-BE49-F238E27FC236}">
                  <a16:creationId xmlns:a16="http://schemas.microsoft.com/office/drawing/2014/main" id="{00000000-0008-0000-0B00-000021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10" name="Button 34" hidden="1">
              <a:extLst>
                <a:ext uri="{63B3BB69-23CF-44E3-9099-C40C66FF867C}">
                  <a14:compatExt spid="_x0000_s203810"/>
                </a:ext>
                <a:ext uri="{FF2B5EF4-FFF2-40B4-BE49-F238E27FC236}">
                  <a16:creationId xmlns:a16="http://schemas.microsoft.com/office/drawing/2014/main" id="{00000000-0008-0000-0B00-000022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s-ES" sz="2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11" name="Button 35" hidden="1">
              <a:extLst>
                <a:ext uri="{63B3BB69-23CF-44E3-9099-C40C66FF867C}">
                  <a14:compatExt spid="_x0000_s203811"/>
                </a:ext>
                <a:ext uri="{FF2B5EF4-FFF2-40B4-BE49-F238E27FC236}">
                  <a16:creationId xmlns:a16="http://schemas.microsoft.com/office/drawing/2014/main" id="{00000000-0008-0000-0B00-000023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SA</a:t>
              </a:r>
            </a:p>
          </xdr:txBody>
        </xdr:sp>
        <xdr:clientData fPrintsWithSheet="0"/>
      </xdr:twoCellAnchor>
    </mc:Choice>
    <mc:Fallback/>
  </mc:AlternateContent>
  <xdr:twoCellAnchor>
    <xdr:from>
      <xdr:col>23</xdr:col>
      <xdr:colOff>263236</xdr:colOff>
      <xdr:row>40</xdr:row>
      <xdr:rowOff>0</xdr:rowOff>
    </xdr:from>
    <xdr:to>
      <xdr:col>27</xdr:col>
      <xdr:colOff>320691</xdr:colOff>
      <xdr:row>50</xdr:row>
      <xdr:rowOff>143435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670954</xdr:colOff>
      <xdr:row>49</xdr:row>
      <xdr:rowOff>171200</xdr:rowOff>
    </xdr:from>
    <xdr:to>
      <xdr:col>22</xdr:col>
      <xdr:colOff>232557</xdr:colOff>
      <xdr:row>62</xdr:row>
      <xdr:rowOff>83128</xdr:rowOff>
    </xdr:to>
    <xdr:sp macro="" textlink="">
      <xdr:nvSpPr>
        <xdr:cNvPr id="12" name="TextBox 11">
          <a:extLst>
            <a:ext uri="{FF2B5EF4-FFF2-40B4-BE49-F238E27FC236}">
              <a16:creationId xmlns:a16="http://schemas.microsoft.com/office/drawing/2014/main" id="{00000000-0008-0000-0B00-00000C000000}"/>
            </a:ext>
          </a:extLst>
        </xdr:cNvPr>
        <xdr:cNvSpPr txBox="1"/>
      </xdr:nvSpPr>
      <xdr:spPr>
        <a:xfrm>
          <a:off x="9884227" y="13139055"/>
          <a:ext cx="9162803" cy="333400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 in the spreadsheet to F:43 onwards (e.g. LCOP, I:6 in Cash Flow Analysis sheet).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cell G:43, onwards, to the corresponding cell used for calculations in the spreadhseet (e.g. natural gas price L:16 in Plant OPEX Sheet)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twoCellAnchor>
    <xdr:from>
      <xdr:col>23</xdr:col>
      <xdr:colOff>272143</xdr:colOff>
      <xdr:row>50</xdr:row>
      <xdr:rowOff>152400</xdr:rowOff>
    </xdr:from>
    <xdr:to>
      <xdr:col>27</xdr:col>
      <xdr:colOff>329598</xdr:colOff>
      <xdr:row>61</xdr:row>
      <xdr:rowOff>34577</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332801" name="Button 1" hidden="1">
              <a:extLst>
                <a:ext uri="{63B3BB69-23CF-44E3-9099-C40C66FF867C}">
                  <a14:compatExt spid="_x0000_s332801"/>
                </a:ext>
                <a:ext uri="{FF2B5EF4-FFF2-40B4-BE49-F238E27FC236}">
                  <a16:creationId xmlns:a16="http://schemas.microsoft.com/office/drawing/2014/main" id="{00000000-0008-0000-0C00-00000114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332802" name="Button 2" hidden="1">
              <a:extLst>
                <a:ext uri="{63B3BB69-23CF-44E3-9099-C40C66FF867C}">
                  <a14:compatExt spid="_x0000_s332802"/>
                </a:ext>
                <a:ext uri="{FF2B5EF4-FFF2-40B4-BE49-F238E27FC236}">
                  <a16:creationId xmlns:a16="http://schemas.microsoft.com/office/drawing/2014/main" id="{00000000-0008-0000-0C00-0000021405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332803" name="Button 3" hidden="1">
              <a:extLst>
                <a:ext uri="{63B3BB69-23CF-44E3-9099-C40C66FF867C}">
                  <a14:compatExt spid="_x0000_s332803"/>
                </a:ext>
                <a:ext uri="{FF2B5EF4-FFF2-40B4-BE49-F238E27FC236}">
                  <a16:creationId xmlns:a16="http://schemas.microsoft.com/office/drawing/2014/main" id="{00000000-0008-0000-0C00-0000031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D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424047</xdr:colOff>
      <xdr:row>3</xdr:row>
      <xdr:rowOff>108132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D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D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421795</xdr:colOff>
      <xdr:row>17</xdr:row>
      <xdr:rowOff>244762</xdr:rowOff>
    </xdr:from>
    <xdr:to>
      <xdr:col>4</xdr:col>
      <xdr:colOff>1183794</xdr:colOff>
      <xdr:row>41</xdr:row>
      <xdr:rowOff>149897</xdr:rowOff>
    </xdr:to>
    <xdr:graphicFrame macro="">
      <xdr:nvGraphicFramePr>
        <xdr:cNvPr id="8" name="Gráfico 3">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17</xdr:row>
      <xdr:rowOff>228600</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E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2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2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28" totalsRowShown="0" headerRowDxfId="379" dataDxfId="377" headerRowBorderDxfId="378" tableBorderDxfId="376">
  <autoFilter ref="AE6:AE28" xr:uid="{BD430C73-D62B-4B34-81C6-4CB5D46BEDB9}">
    <filterColumn colId="0" hiddenButton="1"/>
  </autoFilter>
  <tableColumns count="1">
    <tableColumn id="1" xr3:uid="{84F9157D-4D99-4CBA-AAD8-CC3862882A85}" name="Stream" dataDxfId="375"/>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I6:AP28" totalsRowShown="0" headerRowDxfId="374" dataDxfId="372" headerRowBorderDxfId="373" tableBorderDxfId="371" totalsRowBorderDxfId="370">
  <autoFilter ref="AI6:AP28" xr:uid="{510DCB59-50DF-48D5-B930-238A03E9FB6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220A6D5-F39F-488C-949A-4AABD7B530C9}" name="N2" dataDxfId="369"/>
    <tableColumn id="2" xr3:uid="{AE3F280F-7355-4F85-94D3-238DF0299436}" name="O2" dataDxfId="368"/>
    <tableColumn id="3" xr3:uid="{65CB42F0-00F0-42E3-968D-D507A0425D12}" name="Ar" dataDxfId="367"/>
    <tableColumn id="4" xr3:uid="{CAAE2577-256A-4171-89A0-5968DDB75B83}" name="CO2" dataDxfId="366"/>
    <tableColumn id="5" xr3:uid="{B1749FA8-F263-4E6C-80CC-FAC508516728}" name="H2O" dataDxfId="365"/>
    <tableColumn id="6" xr3:uid="{3E0260EA-49A9-430D-9276-04AA82D42611}" name="CO" dataDxfId="364"/>
    <tableColumn id="7" xr3:uid="{8937B1A9-69B6-4131-A7E5-57110EF3994D}" name="H2" dataDxfId="363"/>
    <tableColumn id="8" xr3:uid="{64F470A9-C67A-4962-9B3A-B94C3AABC568}" name="CH4" dataDxfId="362"/>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H28" totalsRowShown="0" headerRowDxfId="361" dataDxfId="359" headerRowBorderDxfId="360" tableBorderDxfId="358" totalsRowBorderDxfId="357">
  <autoFilter ref="AF6:AH28" xr:uid="{1E496B6B-9D2B-467B-B1BC-B30D13381E1A}">
    <filterColumn colId="0" hiddenButton="1"/>
    <filterColumn colId="1" hiddenButton="1"/>
    <filterColumn colId="2" hiddenButton="1"/>
  </autoFilter>
  <tableColumns count="3">
    <tableColumn id="1" xr3:uid="{876249EE-102A-4A6F-80BD-15A7B17749BB}" name="m (kg/s)" dataDxfId="356"/>
    <tableColumn id="2" xr3:uid="{0C7B1043-BC6B-4465-94D1-EE78A40E93D1}" name="P (bar)" dataDxfId="355"/>
    <tableColumn id="3" xr3:uid="{1134DE1D-9A13-442A-8372-0740BA17D7CD}" name="T(ºC)" dataDxfId="354"/>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63E5F758-07B2-4BCD-8514-2E9BAC468B77}" name="Tabla25879012013562" displayName="Tabla25879012013562" ref="D12:D43" totalsRowShown="0" headerRowDxfId="353" dataDxfId="351" headerRowBorderDxfId="352" tableBorderDxfId="350">
  <autoFilter ref="D12:D43" xr:uid="{54D9AD24-3255-47F8-8858-1911F353046A}">
    <filterColumn colId="0" hiddenButton="1"/>
  </autoFilter>
  <tableColumns count="1">
    <tableColumn id="1" xr3:uid="{1F3476C7-8735-417B-A9C4-822A322F5461}" name="Equipment" dataDxfId="349"/>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A0741E1-6B7B-4F3D-8E2B-5335653FB76A}" name="Tabla27889112113663" displayName="Tabla27889112113663" ref="E12:E43" totalsRowShown="0" headerRowDxfId="348" dataDxfId="346" headerRowBorderDxfId="347" tableBorderDxfId="345">
  <autoFilter ref="E12:E43" xr:uid="{E7DD97D0-07C4-49A5-A08A-CD158C5E4B0A}">
    <filterColumn colId="0" hiddenButton="1"/>
  </autoFilter>
  <tableColumns count="1">
    <tableColumn id="1" xr3:uid="{0E0381C6-E46C-4155-8CCF-1E663E9A981A}" name="Subtype" dataDxfId="344"/>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20CAD387-9799-44CC-BBFD-75ED2B4AF0E5}" name="Tabla54899212213764" displayName="Tabla54899212213764" ref="I12:I43" totalsRowShown="0" headerRowDxfId="343" headerRowBorderDxfId="342" tableBorderDxfId="341">
  <autoFilter ref="I12:I43" xr:uid="{5E4964A9-7D89-4560-BE84-23E70166B931}">
    <filterColumn colId="0" hiddenButton="1"/>
  </autoFilter>
  <tableColumns count="1">
    <tableColumn id="1" xr3:uid="{FE44E510-9309-4352-B6FA-8404E99A6B28}"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40" dataDxfId="338" headerRowBorderDxfId="339" tableBorderDxfId="337">
  <autoFilter ref="D12:D43" xr:uid="{54D9AD24-3255-47F8-8858-1911F353046A}">
    <filterColumn colId="0" hiddenButton="1"/>
  </autoFilter>
  <tableColumns count="1">
    <tableColumn id="1" xr3:uid="{A355DF28-B822-4D21-91F3-9DBB6C59828A}" name="Equipment" dataDxfId="336"/>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335" dataDxfId="333" headerRowBorderDxfId="334" tableBorderDxfId="332">
  <autoFilter ref="E12:E43" xr:uid="{E7DD97D0-07C4-49A5-A08A-CD158C5E4B0A}">
    <filterColumn colId="0" hiddenButton="1"/>
  </autoFilter>
  <tableColumns count="1">
    <tableColumn id="1" xr3:uid="{6FE28B51-AB7B-4376-A0AF-515604CD3E9B}" name="Subtype" dataDxfId="331"/>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330" headerRowBorderDxfId="329" tableBorderDxfId="328">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30E130B7-8522-4EFB-A3A8-D3257039736A}" name="Tabla2587901201356288" displayName="Tabla2587901201356288" ref="D12:D43" totalsRowShown="0" headerRowDxfId="327" dataDxfId="325" headerRowBorderDxfId="326" tableBorderDxfId="324">
  <autoFilter ref="D12:D43" xr:uid="{54D9AD24-3255-47F8-8858-1911F353046A}">
    <filterColumn colId="0" hiddenButton="1"/>
  </autoFilter>
  <tableColumns count="1">
    <tableColumn id="1" xr3:uid="{982C2FDE-2610-409B-AFA6-AB9A77C2AD64}" name="Equipment" dataDxfId="323"/>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FDA6CE3-D052-4123-9E5E-12EC5754003B}" name="Tabla2788911211366389" displayName="Tabla2788911211366389" ref="E12:E43" totalsRowShown="0" headerRowDxfId="322" dataDxfId="320" headerRowBorderDxfId="321" tableBorderDxfId="319">
  <autoFilter ref="E12:E43" xr:uid="{E7DD97D0-07C4-49A5-A08A-CD158C5E4B0A}">
    <filterColumn colId="0" hiddenButton="1"/>
  </autoFilter>
  <tableColumns count="1">
    <tableColumn id="1" xr3:uid="{0562E097-31EE-4B2A-B63C-9F4563B5A65B}" name="Subtype" dataDxfId="318"/>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A926A003-E831-4548-9106-B234D3739900}" name="Tabla5489921221376490" displayName="Tabla5489921221376490" ref="I12:I43" totalsRowShown="0" headerRowDxfId="317" headerRowBorderDxfId="316" tableBorderDxfId="315">
  <autoFilter ref="I12:I43" xr:uid="{5E4964A9-7D89-4560-BE84-23E70166B931}">
    <filterColumn colId="0" hiddenButton="1"/>
  </autoFilter>
  <tableColumns count="1">
    <tableColumn id="1" xr3:uid="{17009F5F-7745-41A9-8728-235D327709DD}" name="Material"/>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2030E4C1-7B9D-4569-AB79-9616E8829EC8}" name="Tabla258790120135628891" displayName="Tabla258790120135628891" ref="D12:D43" totalsRowShown="0" headerRowDxfId="314" dataDxfId="312" headerRowBorderDxfId="313" tableBorderDxfId="311">
  <autoFilter ref="D12:D43" xr:uid="{54D9AD24-3255-47F8-8858-1911F353046A}">
    <filterColumn colId="0" hiddenButton="1"/>
  </autoFilter>
  <tableColumns count="1">
    <tableColumn id="1" xr3:uid="{D8002BF7-53A6-46DA-BF60-638F2ADADD98}" name="Equipment" dataDxfId="310"/>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46FA5047-EECA-4B5D-B5AC-3C0E9E4EBDFB}" name="Tabla278891121136638992" displayName="Tabla278891121136638992" ref="E12:E43" totalsRowShown="0" headerRowDxfId="309" dataDxfId="307" headerRowBorderDxfId="308" tableBorderDxfId="306">
  <autoFilter ref="E12:E43" xr:uid="{E7DD97D0-07C4-49A5-A08A-CD158C5E4B0A}">
    <filterColumn colId="0" hiddenButton="1"/>
  </autoFilter>
  <tableColumns count="1">
    <tableColumn id="1" xr3:uid="{3DEC9253-924D-4C36-889B-46675C41785E}" name="Subtype" dataDxfId="305"/>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FE7ECE72-4CC3-4FD0-A104-E3B78CC78524}" name="Tabla548992122137649093" displayName="Tabla548992122137649093" ref="I12:I43" totalsRowShown="0" headerRowDxfId="304" headerRowBorderDxfId="303" tableBorderDxfId="302">
  <autoFilter ref="I12:I43" xr:uid="{5E4964A9-7D89-4560-BE84-23E70166B931}">
    <filterColumn colId="0" hiddenButton="1"/>
  </autoFilter>
  <tableColumns count="1">
    <tableColumn id="1" xr3:uid="{D9241BB3-647F-45AC-BF72-5CAE05C835BC}" name="Material"/>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BDEA22DE-6B87-4C08-B8AB-EB21656105E7}" name="Tabla25879012013562889194" displayName="Tabla25879012013562889194" ref="D12:D43" totalsRowShown="0" headerRowDxfId="301" dataDxfId="299" headerRowBorderDxfId="300" tableBorderDxfId="298">
  <autoFilter ref="D12:D43" xr:uid="{54D9AD24-3255-47F8-8858-1911F353046A}">
    <filterColumn colId="0" hiddenButton="1"/>
  </autoFilter>
  <tableColumns count="1">
    <tableColumn id="1" xr3:uid="{D4E894C1-2B46-4578-8A7C-3273D596C4B2}" name="Equipment" dataDxfId="297"/>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FD82DDF2-1039-4685-8821-448ADF71D738}" name="Tabla27889112113663899295" displayName="Tabla27889112113663899295" ref="E12:E43" totalsRowShown="0" headerRowDxfId="296" dataDxfId="294" headerRowBorderDxfId="295" tableBorderDxfId="293">
  <autoFilter ref="E12:E43" xr:uid="{E7DD97D0-07C4-49A5-A08A-CD158C5E4B0A}">
    <filterColumn colId="0" hiddenButton="1"/>
  </autoFilter>
  <tableColumns count="1">
    <tableColumn id="1" xr3:uid="{B170194C-1201-4F2F-A3E0-2BCDB7C2E29C}" name="Subtype" dataDxfId="292"/>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C30D7DB3-28FC-4845-8242-F1A36B18DB32}" name="Tabla54899212213764909396" displayName="Tabla54899212213764909396" ref="I12:I43" totalsRowShown="0" headerRowDxfId="291" headerRowBorderDxfId="290" tableBorderDxfId="289">
  <autoFilter ref="I12:I43" xr:uid="{5E4964A9-7D89-4560-BE84-23E70166B931}">
    <filterColumn colId="0" hiddenButton="1"/>
  </autoFilter>
  <tableColumns count="1">
    <tableColumn id="1" xr3:uid="{64FCA835-7CCB-4A21-8D15-1184C0ECED0E}" name="Material"/>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141FF885-0AEF-46C1-B444-C14F26B6352B}" name="Tabla2587901201356288919497" displayName="Tabla2587901201356288919497" ref="D12:D43" totalsRowShown="0" headerRowDxfId="288" dataDxfId="286" headerRowBorderDxfId="287" tableBorderDxfId="285">
  <autoFilter ref="D12:D43" xr:uid="{54D9AD24-3255-47F8-8858-1911F353046A}">
    <filterColumn colId="0" hiddenButton="1"/>
  </autoFilter>
  <tableColumns count="1">
    <tableColumn id="1" xr3:uid="{E7497426-2FBB-4742-B55A-8F8F1E9887E2}" name="Equipment" dataDxfId="284"/>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AC1815B5-6706-4B81-87EB-662A6592CE27}" name="Tabla2788911211366389929598" displayName="Tabla2788911211366389929598" ref="E12:E43" totalsRowShown="0" headerRowDxfId="283" dataDxfId="281" headerRowBorderDxfId="282" tableBorderDxfId="280">
  <autoFilter ref="E12:E43" xr:uid="{E7DD97D0-07C4-49A5-A08A-CD158C5E4B0A}">
    <filterColumn colId="0" hiddenButton="1"/>
  </autoFilter>
  <tableColumns count="1">
    <tableColumn id="1" xr3:uid="{073FDF8B-B762-4542-826F-EFCB4CCE12D4}" name="Subtype" dataDxfId="279"/>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2A39B3DC-A1DB-40FF-BF51-1D09DAAE33B8}" name="Tabla5489921221376490939699" displayName="Tabla5489921221376490939699" ref="I12:I43" totalsRowShown="0" headerRowDxfId="278" headerRowBorderDxfId="277" tableBorderDxfId="276">
  <autoFilter ref="I12:I43" xr:uid="{5E4964A9-7D89-4560-BE84-23E70166B931}">
    <filterColumn colId="0" hiddenButton="1"/>
  </autoFilter>
  <tableColumns count="1">
    <tableColumn id="1" xr3:uid="{ADDAFFFA-72E6-4C82-9EA5-75608D3CAAD4}" name="Material"/>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K14" headerRowDxfId="275" dataDxfId="273" headerRowBorderDxfId="274" tableBorderDxfId="272">
  <autoFilter ref="D3:K14" xr:uid="{64CC735C-3D0C-4D1C-922B-02CBF98B8EB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3D7F9C3B-45CD-4580-80A0-AE226C2C5DCF}" name="Item 1" totalsRowLabel="Total" dataDxfId="271" totalsRowDxfId="270"/>
    <tableColumn id="2" xr3:uid="{4D82A35B-4189-4719-BB3C-4D34D7E09642}" name="Item 2" dataDxfId="269" totalsRowDxfId="268">
      <calculatedColumnFormula>+#REF!+#REF!</calculatedColumnFormula>
    </tableColumn>
    <tableColumn id="3" xr3:uid="{031D8C80-7B65-48B3-95DE-EBBD12D602AA}" name="Item 3" dataDxfId="267" totalsRowDxfId="266"/>
    <tableColumn id="4" xr3:uid="{76940428-0803-44F4-9D2F-7A17429945D0}" name="Item 4" dataDxfId="265" totalsRowDxfId="264"/>
    <tableColumn id="5" xr3:uid="{4DCE178F-A95B-4C36-AD98-E668E3C59C40}" name="Item 5" dataDxfId="263" totalsRowDxfId="262"/>
    <tableColumn id="6" xr3:uid="{702AED3F-C6D2-4BB6-9912-0C6AB695923C}" name="Item 6" dataDxfId="261" totalsRowDxfId="260"/>
    <tableColumn id="7" xr3:uid="{1C398EE1-9F0E-4010-88E7-1AB74A3A9E33}" name="Item 7" dataDxfId="259" totalsRowDxfId="258"/>
    <tableColumn id="22" xr3:uid="{118B0DE5-F4D6-41BA-B022-A7A53FBE109A}" name="Total" dataDxfId="257" totalsRowDxfId="256">
      <calculatedColumnFormula array="1">+suma(#REF!)</calculatedColumnFormula>
    </tableColumn>
  </tableColumns>
  <tableStyleInfo name="TableStyleLight13" showFirstColumn="0" showLastColumn="1"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J25" totalsRowShown="0" headerRowDxfId="255" dataDxfId="253" headerRowBorderDxfId="254" tableBorderDxfId="252">
  <autoFilter ref="D16:J25" xr:uid="{242DD7A6-A2F2-4530-8CB1-4AE3D4814DA5}">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63E2223-F910-4628-9144-F8EE509C95E9}" name="Item 1" dataDxfId="251"/>
    <tableColumn id="2" xr3:uid="{A2FE6D58-DE8B-428E-BCCE-879A37C47E6E}" name="Item 2" dataDxfId="250"/>
    <tableColumn id="3" xr3:uid="{7925CDB2-450B-4481-AAF3-C97257BEAACF}" name="Item 3" dataDxfId="249"/>
    <tableColumn id="4" xr3:uid="{04880DFB-6CC9-4F3A-8D86-4D2CF229564A}" name="Item 4" dataDxfId="248"/>
    <tableColumn id="5" xr3:uid="{56589B25-FEEF-4974-901E-B17DA0EF019A}" name="Item 5" dataDxfId="247"/>
    <tableColumn id="6" xr3:uid="{77C17441-508D-466D-A2E4-1A7AB95BFEF6}" name="Item 6" dataDxfId="246"/>
    <tableColumn id="7" xr3:uid="{A45306E8-6BE2-4F29-97F1-F3B0FF61C2EB}" name="Item 7" dataDxfId="245"/>
  </tableColumns>
  <tableStyleInfo name="TableStyleLight13" showFirstColumn="0" showLastColumn="0" showRowStripes="1" showColumnStripes="1"/>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24" totalsRowShown="0" headerRowDxfId="244" dataDxfId="242" headerRowBorderDxfId="243" tableBorderDxfId="241">
  <autoFilter ref="P15:U24"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40"/>
    <tableColumn id="2" xr3:uid="{9B4C5D61-F713-41FC-B7C7-9F077DE82275}" name="Value" dataDxfId="239"/>
    <tableColumn id="3" xr3:uid="{A4C06DCA-E860-4A4F-B152-665585967753}" name="unit/year" dataDxfId="238"/>
    <tableColumn id="4" xr3:uid="{CCA6FF56-D426-420F-BF2F-A692827F42E1}" name="Specific Cost" dataDxfId="237"/>
    <tableColumn id="5" xr3:uid="{4648B13C-CDDA-4B0E-ABF0-FBA2AFA9D245}" name="cost/unit" dataDxfId="236"/>
    <tableColumn id="6" xr3:uid="{F22C8FA2-C58A-42CD-927E-2B28BD9711A6}" name="cost/year" dataDxfId="235">
      <calculatedColumnFormula>+Q16*S16/10^6</calculatedColumnFormula>
    </tableColumn>
  </tableColumns>
  <tableStyleInfo name="TableStyleLight13" showFirstColumn="0" showLastColumn="0" showRowStripes="1" showColumnStripes="1"/>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34" headerRowBorderDxfId="233" tableBorderDxfId="232">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31"/>
    <tableColumn id="2" xr3:uid="{332EA6EB-8C1E-4D46-8464-EFCB65EA23A5}" name="Value" dataDxfId="230"/>
    <tableColumn id="3" xr3:uid="{BAEA2EAA-B867-4C8B-926B-D331C449D698}" name="unit/year" dataDxfId="229"/>
    <tableColumn id="4" xr3:uid="{23D264B9-CD6B-4F68-92FC-49B00E384F23}" name="Specific Cost" dataDxfId="228"/>
    <tableColumn id="5" xr3:uid="{00D8C109-8039-47C9-A54A-67B25387E9D5}" name="cost/unit" dataDxfId="227"/>
    <tableColumn id="6" xr3:uid="{526DA783-5211-4718-AFCF-98B7F83F959A}" name="cost/year" dataDxfId="226">
      <calculatedColumnFormula>+J16*L16/10^6</calculatedColumnFormula>
    </tableColumn>
  </tableColumns>
  <tableStyleInfo name="TableStyleLight13"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8" totalsRowShown="0" headerRowDxfId="225" dataDxfId="223" headerRowBorderDxfId="224" tableBorderDxfId="222">
  <autoFilter ref="B15:G18"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21"/>
    <tableColumn id="2" xr3:uid="{C2D6BCEA-8C9D-49FB-BFC1-D70F1AF96B3C}" name="Value" dataDxfId="220"/>
    <tableColumn id="3" xr3:uid="{1E8C5934-680E-4CE8-BF03-307BA777810C}" name="unit/year" dataDxfId="219"/>
    <tableColumn id="4" xr3:uid="{F602E6B3-7A75-49BA-AF4A-D607E8EFA18E}" name="Specific Cost" dataDxfId="218"/>
    <tableColumn id="5" xr3:uid="{B0FD65F7-3D14-410A-871D-F32A1D988FCC}" name="cost/unit" dataDxfId="217"/>
    <tableColumn id="6" xr3:uid="{88D3E296-CC80-4404-A1FA-960EC01E83C3}" name="cost/year" dataDxfId="216">
      <calculatedColumnFormula>+C16*E16</calculatedColumnFormula>
    </tableColumn>
  </tableColumns>
  <tableStyleInfo name="TableStyleLight13" showFirstColumn="0" showLastColumn="0" showRowStripes="1" showColumnStripes="1"/>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47470C7D-ED2F-44BF-8D96-B2453B708244}" name="Table63" displayName="Table63" ref="B42:K44" totalsRowShown="0" headerRowDxfId="215" dataDxfId="213" headerRowBorderDxfId="214" tableBorderDxfId="212">
  <autoFilter ref="B42:K44" xr:uid="{47470C7D-ED2F-44BF-8D96-B2453B7082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184A266D-5175-4C97-A4A2-AC5EC12FC14E}" name="Ind. Var" dataDxfId="211">
      <calculatedColumnFormula>+G6</calculatedColumnFormula>
    </tableColumn>
    <tableColumn id="8" xr3:uid="{90B058EB-D988-4139-BCA2-1E849DD414AE}" name="Units - Ind." dataDxfId="210" dataCellStyle="Normal 2 2"/>
    <tableColumn id="7" xr3:uid="{A325E14C-4736-41E5-9E7C-E97342DE2FC0}" name="Man. Var." dataDxfId="209">
      <calculatedColumnFormula>+'Plant OPEX'!I16</calculatedColumnFormula>
    </tableColumn>
    <tableColumn id="9" xr3:uid="{E0A061D9-9D1E-44F5-8204-9F1C049F4E91}" name="Units - Man." dataDxfId="208"/>
    <tableColumn id="1" xr3:uid="{27190238-D968-4A35-913A-F717AFDAE171}" name="Ind. Var." dataDxfId="207"/>
    <tableColumn id="2" xr3:uid="{02CB4798-00A1-43E7-9AA0-7B696CB7CDB0}" name="Man. Var" dataDxfId="206"/>
    <tableColumn id="10" xr3:uid="{AEA1A21B-595D-4DCD-BEE6-A07CD6060499}" name="Base" dataDxfId="205"/>
    <tableColumn id="3" xr3:uid="{045FB841-C60E-4503-B534-A41A60010A21}" name="Increment" dataDxfId="204"/>
    <tableColumn id="4" xr3:uid="{7FAD0130-9A24-4A99-B5F1-65607F094DFB}" name="nº of points" dataDxfId="203"/>
    <tableColumn id="5" xr3:uid="{BBEACEB0-9D4A-4E86-84FE-CD43BC1E9B7F}" name="Initial" dataDxfId="202"/>
  </tableColumns>
  <tableStyleInfo name="TableStyleLight20" showFirstColumn="0" showLastColumn="0" showRowStripes="0"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62320B6-35F1-4693-9B31-CB60C4D51E94}" name="Table30" displayName="Table30" ref="B4:D10" totalsRowShown="0" headerRowDxfId="201" headerRowBorderDxfId="200" tableBorderDxfId="199">
  <autoFilter ref="B4:D10" xr:uid="{13B9CF21-C87C-43E8-A2FC-6C7E7E3723BC}">
    <filterColumn colId="0" hiddenButton="1"/>
    <filterColumn colId="1" hiddenButton="1"/>
    <filterColumn colId="2" hiddenButton="1"/>
  </autoFilter>
  <tableColumns count="3">
    <tableColumn id="1" xr3:uid="{6AD9B5F8-87AF-4A43-88C2-0AEA54E33476}" name="Item" dataDxfId="198"/>
    <tableColumn id="2" xr3:uid="{2F61BD84-F1F2-46B3-B8D7-BF3C290401F6}" name="Value" dataDxfId="197"/>
    <tableColumn id="3" xr3:uid="{4D675946-167E-435F-9F43-4BE1F1CC9128}" name="Units" dataDxfId="196"/>
  </tableColumns>
  <tableStyleInfo name="TableStyleLight1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hyperlink" Target="https://www.engineeringtoolbox.com/heat-transfer-coefficients-exchangers-d_450.html" TargetMode="External"/><Relationship Id="rId7" Type="http://schemas.openxmlformats.org/officeDocument/2006/relationships/ctrlProp" Target="../ctrlProps/ctrlProp12.xml"/><Relationship Id="rId2" Type="http://schemas.openxmlformats.org/officeDocument/2006/relationships/hyperlink" Target="https://doi.org/10.1016/j.ijggc.2012.06.021" TargetMode="External"/><Relationship Id="rId1" Type="http://schemas.openxmlformats.org/officeDocument/2006/relationships/hyperlink" Target="https://doi.org/10.1115/GT2006-90353" TargetMode="External"/><Relationship Id="rId6" Type="http://schemas.openxmlformats.org/officeDocument/2006/relationships/vmlDrawing" Target="../drawings/vmlDrawing3.vml"/><Relationship Id="rId11" Type="http://schemas.openxmlformats.org/officeDocument/2006/relationships/comments" Target="../comments3.xml"/><Relationship Id="rId5" Type="http://schemas.openxmlformats.org/officeDocument/2006/relationships/drawing" Target="../drawings/drawing2.xml"/><Relationship Id="rId10" Type="http://schemas.openxmlformats.org/officeDocument/2006/relationships/table" Target="../tables/table6.xml"/><Relationship Id="rId4" Type="http://schemas.openxmlformats.org/officeDocument/2006/relationships/printerSettings" Target="../printerSettings/printerSettings2.bin"/><Relationship Id="rId9" Type="http://schemas.openxmlformats.org/officeDocument/2006/relationships/table" Target="../tables/table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drawing" Target="../drawings/drawing3.xml"/><Relationship Id="rId7" Type="http://schemas.openxmlformats.org/officeDocument/2006/relationships/table" Target="../tables/table8.xml"/><Relationship Id="rId2" Type="http://schemas.openxmlformats.org/officeDocument/2006/relationships/printerSettings" Target="../printerSettings/printerSettings3.bin"/><Relationship Id="rId1" Type="http://schemas.openxmlformats.org/officeDocument/2006/relationships/hyperlink" Target="https://doi.org/10.1016/j.energy.2019.07.072" TargetMode="External"/><Relationship Id="rId6" Type="http://schemas.openxmlformats.org/officeDocument/2006/relationships/table" Target="../tables/table7.xml"/><Relationship Id="rId5" Type="http://schemas.openxmlformats.org/officeDocument/2006/relationships/ctrlProp" Target="../ctrlProps/ctrlProp13.xml"/><Relationship Id="rId4" Type="http://schemas.openxmlformats.org/officeDocument/2006/relationships/vmlDrawing" Target="../drawings/vmlDrawing4.vml"/><Relationship Id="rId9"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1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printerSettings" Target="../printerSettings/printerSettings5.bin"/><Relationship Id="rId7" Type="http://schemas.openxmlformats.org/officeDocument/2006/relationships/table" Target="../tables/table13.xml"/><Relationship Id="rId2" Type="http://schemas.openxmlformats.org/officeDocument/2006/relationships/hyperlink" Target="https://books.google.es/books?hl=es&amp;lr=&amp;id=DJaxUL3numgC&amp;oi=fnd&amp;pg=PP1&amp;dq=Sinnott,+R.K.,+J.M.+Coulson,+and+J.F.+Richardson,+Coulson+%26+Richardson%27s+chemical+engineering.+Vol.+6.+2005:+Oxford:+Elsevier+Butterworth-Heinemann&amp;ots=2fYbhsdW-r&amp;sig=YniuS6GIRBT0AzmGgypUIdBm39Q" TargetMode="External"/><Relationship Id="rId1" Type="http://schemas.openxmlformats.org/officeDocument/2006/relationships/hyperlink" Target="https://doi.org/10.1016/j.cej.2008.09.023" TargetMode="External"/><Relationship Id="rId6" Type="http://schemas.openxmlformats.org/officeDocument/2006/relationships/ctrlProp" Target="../ctrlProps/ctrlProp15.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5.xml"/><Relationship Id="rId9" Type="http://schemas.openxmlformats.org/officeDocument/2006/relationships/table" Target="../tables/table1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printerSettings" Target="../printerSettings/printerSettings6.bin"/><Relationship Id="rId7" Type="http://schemas.openxmlformats.org/officeDocument/2006/relationships/image" Target="../media/image20.emf"/><Relationship Id="rId12" Type="http://schemas.openxmlformats.org/officeDocument/2006/relationships/comments" Target="../comments7.xml"/><Relationship Id="rId2" Type="http://schemas.openxmlformats.org/officeDocument/2006/relationships/hyperlink" Target="https://doi.org/10.1016/j.enconman.2016.04.073" TargetMode="External"/><Relationship Id="rId1" Type="http://schemas.openxmlformats.org/officeDocument/2006/relationships/hyperlink" Target="https://ieaghg.org/docs/General_Docs/Reports/2014-03.pdf" TargetMode="External"/><Relationship Id="rId6" Type="http://schemas.openxmlformats.org/officeDocument/2006/relationships/package" Target="../embeddings/Dibujo_de_Microsoft_Visio.vsdx"/><Relationship Id="rId11" Type="http://schemas.openxmlformats.org/officeDocument/2006/relationships/table" Target="../tables/table18.xml"/><Relationship Id="rId5" Type="http://schemas.openxmlformats.org/officeDocument/2006/relationships/vmlDrawing" Target="../drawings/vmlDrawing7.vml"/><Relationship Id="rId10" Type="http://schemas.openxmlformats.org/officeDocument/2006/relationships/table" Target="../tables/table17.xml"/><Relationship Id="rId4" Type="http://schemas.openxmlformats.org/officeDocument/2006/relationships/drawing" Target="../drawings/drawing6.xml"/><Relationship Id="rId9" Type="http://schemas.openxmlformats.org/officeDocument/2006/relationships/table" Target="../tables/table16.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drawing" Target="../drawings/drawing7.xml"/><Relationship Id="rId7" Type="http://schemas.openxmlformats.org/officeDocument/2006/relationships/table" Target="../tables/table20.xml"/><Relationship Id="rId2" Type="http://schemas.openxmlformats.org/officeDocument/2006/relationships/printerSettings" Target="../printerSettings/printerSettings7.bin"/><Relationship Id="rId1" Type="http://schemas.openxmlformats.org/officeDocument/2006/relationships/hyperlink" Target="https://doi.org/10.1016/j.ijggc.2017.01.014" TargetMode="External"/><Relationship Id="rId6" Type="http://schemas.openxmlformats.org/officeDocument/2006/relationships/table" Target="../tables/table19.xml"/><Relationship Id="rId5" Type="http://schemas.openxmlformats.org/officeDocument/2006/relationships/ctrlProp" Target="../ctrlProps/ctrlProp17.xml"/><Relationship Id="rId4" Type="http://schemas.openxmlformats.org/officeDocument/2006/relationships/vmlDrawing" Target="../drawings/vmlDrawing8.vml"/><Relationship Id="rId9"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www.samcotech.com/cost-cooling-tower-water-treatment-system/" TargetMode="External"/><Relationship Id="rId5" Type="http://schemas.openxmlformats.org/officeDocument/2006/relationships/ctrlProp" Target="../ctrlProps/ctrlProp18.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10.vml"/><Relationship Id="rId7"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1.xml"/><Relationship Id="rId5" Type="http://schemas.openxmlformats.org/officeDocument/2006/relationships/ctrlProp" Target="../ctrlProps/ctrlProp20.xml"/><Relationship Id="rId10" Type="http://schemas.openxmlformats.org/officeDocument/2006/relationships/table" Target="../tables/table23.xml"/><Relationship Id="rId4" Type="http://schemas.openxmlformats.org/officeDocument/2006/relationships/ctrlProp" Target="../ctrlProps/ctrlProp19.xml"/><Relationship Id="rId9" Type="http://schemas.openxmlformats.org/officeDocument/2006/relationships/table" Target="../tables/table2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table" Target="../tables/table24.xml"/><Relationship Id="rId3" Type="http://schemas.openxmlformats.org/officeDocument/2006/relationships/printerSettings" Target="../printerSettings/printerSettings10.bin"/><Relationship Id="rId7" Type="http://schemas.openxmlformats.org/officeDocument/2006/relationships/ctrlProp" Target="../ctrlProps/ctrlProp25.xml"/><Relationship Id="rId12" Type="http://schemas.openxmlformats.org/officeDocument/2006/relationships/ctrlProp" Target="../ctrlProps/ctrlProp30.xml"/><Relationship Id="rId2" Type="http://schemas.openxmlformats.org/officeDocument/2006/relationships/hyperlink" Target="https://zenodo.org/record/1312801" TargetMode="External"/><Relationship Id="rId1" Type="http://schemas.openxmlformats.org/officeDocument/2006/relationships/hyperlink" Target="https://doi.org/10.1016/j.ijhydene.2020.01.234" TargetMode="External"/><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vmlDrawing" Target="../drawings/vmlDrawing11.vml"/><Relationship Id="rId15" Type="http://schemas.openxmlformats.org/officeDocument/2006/relationships/table" Target="../tables/table26.xml"/><Relationship Id="rId10" Type="http://schemas.openxmlformats.org/officeDocument/2006/relationships/ctrlProp" Target="../ctrlProps/ctrlProp28.xml"/><Relationship Id="rId4" Type="http://schemas.openxmlformats.org/officeDocument/2006/relationships/drawing" Target="../drawings/drawing10.xml"/><Relationship Id="rId9" Type="http://schemas.openxmlformats.org/officeDocument/2006/relationships/ctrlProp" Target="../ctrlProps/ctrlProp27.xml"/><Relationship Id="rId14" Type="http://schemas.openxmlformats.org/officeDocument/2006/relationships/table" Target="../tables/table25.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12.vml"/><Relationship Id="rId1" Type="http://schemas.openxmlformats.org/officeDocument/2006/relationships/drawing" Target="../drawings/drawing11.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9.xml"/><Relationship Id="rId4" Type="http://schemas.openxmlformats.org/officeDocument/2006/relationships/ctrlProp" Target="../ctrlProps/ctrlProp32.xml"/><Relationship Id="rId9" Type="http://schemas.openxmlformats.org/officeDocument/2006/relationships/table" Target="../tables/table28.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3.vml"/><Relationship Id="rId7" Type="http://schemas.openxmlformats.org/officeDocument/2006/relationships/table" Target="../tables/table29.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14.vml"/><Relationship Id="rId1" Type="http://schemas.openxmlformats.org/officeDocument/2006/relationships/drawing" Target="../drawings/drawing13.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13" Type="http://schemas.openxmlformats.org/officeDocument/2006/relationships/table" Target="../tables/table37.xml"/><Relationship Id="rId18" Type="http://schemas.openxmlformats.org/officeDocument/2006/relationships/table" Target="../tables/table42.xml"/><Relationship Id="rId26" Type="http://schemas.openxmlformats.org/officeDocument/2006/relationships/table" Target="../tables/table50.xml"/><Relationship Id="rId39" Type="http://schemas.openxmlformats.org/officeDocument/2006/relationships/table" Target="../tables/table63.xml"/><Relationship Id="rId21" Type="http://schemas.openxmlformats.org/officeDocument/2006/relationships/table" Target="../tables/table45.xml"/><Relationship Id="rId34" Type="http://schemas.openxmlformats.org/officeDocument/2006/relationships/table" Target="../tables/table58.xml"/><Relationship Id="rId42" Type="http://schemas.openxmlformats.org/officeDocument/2006/relationships/table" Target="../tables/table66.xml"/><Relationship Id="rId47" Type="http://schemas.openxmlformats.org/officeDocument/2006/relationships/table" Target="../tables/table71.xml"/><Relationship Id="rId50" Type="http://schemas.openxmlformats.org/officeDocument/2006/relationships/table" Target="../tables/table74.xml"/><Relationship Id="rId55" Type="http://schemas.openxmlformats.org/officeDocument/2006/relationships/table" Target="../tables/table79.xml"/><Relationship Id="rId63" Type="http://schemas.openxmlformats.org/officeDocument/2006/relationships/table" Target="../tables/table87.xml"/><Relationship Id="rId7" Type="http://schemas.openxmlformats.org/officeDocument/2006/relationships/table" Target="../tables/table31.xml"/><Relationship Id="rId2" Type="http://schemas.openxmlformats.org/officeDocument/2006/relationships/printerSettings" Target="../printerSettings/printerSettings12.bin"/><Relationship Id="rId16" Type="http://schemas.openxmlformats.org/officeDocument/2006/relationships/table" Target="../tables/table40.xml"/><Relationship Id="rId20" Type="http://schemas.openxmlformats.org/officeDocument/2006/relationships/table" Target="../tables/table44.xml"/><Relationship Id="rId29" Type="http://schemas.openxmlformats.org/officeDocument/2006/relationships/table" Target="../tables/table53.xml"/><Relationship Id="rId41" Type="http://schemas.openxmlformats.org/officeDocument/2006/relationships/table" Target="../tables/table65.xml"/><Relationship Id="rId54" Type="http://schemas.openxmlformats.org/officeDocument/2006/relationships/table" Target="../tables/table78.xml"/><Relationship Id="rId62" Type="http://schemas.openxmlformats.org/officeDocument/2006/relationships/table" Target="../tables/table86.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30.xml"/><Relationship Id="rId11" Type="http://schemas.openxmlformats.org/officeDocument/2006/relationships/table" Target="../tables/table35.xml"/><Relationship Id="rId24" Type="http://schemas.openxmlformats.org/officeDocument/2006/relationships/table" Target="../tables/table48.xml"/><Relationship Id="rId32" Type="http://schemas.openxmlformats.org/officeDocument/2006/relationships/table" Target="../tables/table56.xml"/><Relationship Id="rId37" Type="http://schemas.openxmlformats.org/officeDocument/2006/relationships/table" Target="../tables/table61.xml"/><Relationship Id="rId40" Type="http://schemas.openxmlformats.org/officeDocument/2006/relationships/table" Target="../tables/table64.xml"/><Relationship Id="rId45" Type="http://schemas.openxmlformats.org/officeDocument/2006/relationships/table" Target="../tables/table69.xml"/><Relationship Id="rId53" Type="http://schemas.openxmlformats.org/officeDocument/2006/relationships/table" Target="../tables/table77.xml"/><Relationship Id="rId58" Type="http://schemas.openxmlformats.org/officeDocument/2006/relationships/table" Target="../tables/table82.xml"/><Relationship Id="rId66" Type="http://schemas.microsoft.com/office/2017/10/relationships/threadedComment" Target="../threadedComments/threadedComment1.xml"/><Relationship Id="rId5" Type="http://schemas.openxmlformats.org/officeDocument/2006/relationships/ctrlProp" Target="../ctrlProps/ctrlProp42.xml"/><Relationship Id="rId15" Type="http://schemas.openxmlformats.org/officeDocument/2006/relationships/table" Target="../tables/table39.xml"/><Relationship Id="rId23" Type="http://schemas.openxmlformats.org/officeDocument/2006/relationships/table" Target="../tables/table47.xml"/><Relationship Id="rId28" Type="http://schemas.openxmlformats.org/officeDocument/2006/relationships/table" Target="../tables/table52.xml"/><Relationship Id="rId36" Type="http://schemas.openxmlformats.org/officeDocument/2006/relationships/table" Target="../tables/table60.xml"/><Relationship Id="rId49" Type="http://schemas.openxmlformats.org/officeDocument/2006/relationships/table" Target="../tables/table73.xml"/><Relationship Id="rId57" Type="http://schemas.openxmlformats.org/officeDocument/2006/relationships/table" Target="../tables/table81.xml"/><Relationship Id="rId61" Type="http://schemas.openxmlformats.org/officeDocument/2006/relationships/table" Target="../tables/table85.xml"/><Relationship Id="rId10" Type="http://schemas.openxmlformats.org/officeDocument/2006/relationships/table" Target="../tables/table34.xml"/><Relationship Id="rId19" Type="http://schemas.openxmlformats.org/officeDocument/2006/relationships/table" Target="../tables/table43.xml"/><Relationship Id="rId31" Type="http://schemas.openxmlformats.org/officeDocument/2006/relationships/table" Target="../tables/table55.xml"/><Relationship Id="rId44" Type="http://schemas.openxmlformats.org/officeDocument/2006/relationships/table" Target="../tables/table68.xml"/><Relationship Id="rId52" Type="http://schemas.openxmlformats.org/officeDocument/2006/relationships/table" Target="../tables/table76.xml"/><Relationship Id="rId60" Type="http://schemas.openxmlformats.org/officeDocument/2006/relationships/table" Target="../tables/table84.xml"/><Relationship Id="rId65" Type="http://schemas.openxmlformats.org/officeDocument/2006/relationships/comments" Target="../comments11.xml"/><Relationship Id="rId4" Type="http://schemas.openxmlformats.org/officeDocument/2006/relationships/vmlDrawing" Target="../drawings/vmlDrawing15.vml"/><Relationship Id="rId9" Type="http://schemas.openxmlformats.org/officeDocument/2006/relationships/table" Target="../tables/table33.xml"/><Relationship Id="rId14" Type="http://schemas.openxmlformats.org/officeDocument/2006/relationships/table" Target="../tables/table38.xml"/><Relationship Id="rId22" Type="http://schemas.openxmlformats.org/officeDocument/2006/relationships/table" Target="../tables/table46.xml"/><Relationship Id="rId27" Type="http://schemas.openxmlformats.org/officeDocument/2006/relationships/table" Target="../tables/table51.xml"/><Relationship Id="rId30" Type="http://schemas.openxmlformats.org/officeDocument/2006/relationships/table" Target="../tables/table54.xml"/><Relationship Id="rId35" Type="http://schemas.openxmlformats.org/officeDocument/2006/relationships/table" Target="../tables/table59.xml"/><Relationship Id="rId43" Type="http://schemas.openxmlformats.org/officeDocument/2006/relationships/table" Target="../tables/table67.xml"/><Relationship Id="rId48" Type="http://schemas.openxmlformats.org/officeDocument/2006/relationships/table" Target="../tables/table72.xml"/><Relationship Id="rId56" Type="http://schemas.openxmlformats.org/officeDocument/2006/relationships/table" Target="../tables/table80.xml"/><Relationship Id="rId64" Type="http://schemas.openxmlformats.org/officeDocument/2006/relationships/table" Target="../tables/table88.xml"/><Relationship Id="rId8" Type="http://schemas.openxmlformats.org/officeDocument/2006/relationships/table" Target="../tables/table32.xml"/><Relationship Id="rId51" Type="http://schemas.openxmlformats.org/officeDocument/2006/relationships/table" Target="../tables/table75.xml"/><Relationship Id="rId3" Type="http://schemas.openxmlformats.org/officeDocument/2006/relationships/drawing" Target="../drawings/drawing14.xml"/><Relationship Id="rId12" Type="http://schemas.openxmlformats.org/officeDocument/2006/relationships/table" Target="../tables/table36.xml"/><Relationship Id="rId17" Type="http://schemas.openxmlformats.org/officeDocument/2006/relationships/table" Target="../tables/table41.xml"/><Relationship Id="rId25" Type="http://schemas.openxmlformats.org/officeDocument/2006/relationships/table" Target="../tables/table49.xml"/><Relationship Id="rId33" Type="http://schemas.openxmlformats.org/officeDocument/2006/relationships/table" Target="../tables/table57.xml"/><Relationship Id="rId38" Type="http://schemas.openxmlformats.org/officeDocument/2006/relationships/table" Target="../tables/table62.xml"/><Relationship Id="rId46" Type="http://schemas.openxmlformats.org/officeDocument/2006/relationships/table" Target="../tables/table70.xml"/><Relationship Id="rId59" Type="http://schemas.openxmlformats.org/officeDocument/2006/relationships/table" Target="../tables/table8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12.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table" Target="../tables/table90.xml"/><Relationship Id="rId7" Type="http://schemas.openxmlformats.org/officeDocument/2006/relationships/table" Target="../tables/table94.xml"/><Relationship Id="rId2" Type="http://schemas.openxmlformats.org/officeDocument/2006/relationships/table" Target="../tables/table89.xml"/><Relationship Id="rId1" Type="http://schemas.openxmlformats.org/officeDocument/2006/relationships/vmlDrawing" Target="../drawings/vmlDrawing17.vml"/><Relationship Id="rId6" Type="http://schemas.openxmlformats.org/officeDocument/2006/relationships/table" Target="../tables/table93.xml"/><Relationship Id="rId5" Type="http://schemas.openxmlformats.org/officeDocument/2006/relationships/table" Target="../tables/table92.xml"/><Relationship Id="rId4" Type="http://schemas.openxmlformats.org/officeDocument/2006/relationships/table" Target="../tables/table91.xml"/><Relationship Id="rId9" Type="http://schemas.microsoft.com/office/2017/10/relationships/threadedComment" Target="../threadedComments/threadedComment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B16DE-2E90-40AF-822E-CA091F398578}">
  <sheetPr codeName="Sheet2">
    <tabColor theme="2"/>
  </sheetPr>
  <dimension ref="B1:AF41"/>
  <sheetViews>
    <sheetView showGridLines="0" zoomScale="70" zoomScaleNormal="70"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597"/>
      <c r="C2" s="330"/>
      <c r="D2" s="639"/>
      <c r="E2" s="639"/>
      <c r="F2" s="639"/>
      <c r="G2" s="639"/>
      <c r="H2" s="639"/>
      <c r="I2" s="639"/>
      <c r="J2" s="639"/>
      <c r="K2" s="639"/>
      <c r="L2" s="639"/>
      <c r="M2" s="639"/>
      <c r="N2" s="639"/>
      <c r="O2" s="639"/>
      <c r="P2" s="639"/>
      <c r="Q2" s="639"/>
      <c r="R2" s="639"/>
      <c r="S2" s="639"/>
      <c r="T2" s="639"/>
      <c r="U2" s="639"/>
      <c r="V2" s="639"/>
      <c r="W2" s="639"/>
      <c r="X2" s="639"/>
      <c r="Y2" s="639"/>
      <c r="Z2" s="640"/>
      <c r="AA2" s="914"/>
      <c r="AB2" s="1062" t="s">
        <v>995</v>
      </c>
      <c r="AC2" s="1063"/>
      <c r="AD2" s="1064"/>
      <c r="AE2" s="914"/>
      <c r="AF2" s="914"/>
    </row>
    <row r="3" spans="2:32" ht="18" customHeight="1" x14ac:dyDescent="0.3">
      <c r="B3" s="91"/>
      <c r="C3" s="1065" t="s">
        <v>691</v>
      </c>
      <c r="D3" s="1066"/>
      <c r="E3" s="1066"/>
      <c r="F3" s="1066"/>
      <c r="G3" s="1066"/>
      <c r="H3" s="1066"/>
      <c r="I3" s="1066"/>
      <c r="J3" s="1066"/>
      <c r="K3" s="1066"/>
      <c r="L3" s="1066"/>
      <c r="M3" s="1066"/>
      <c r="N3" s="1066"/>
      <c r="O3" s="1066"/>
      <c r="P3" s="1066"/>
      <c r="Q3" s="1066"/>
      <c r="R3" s="1066"/>
      <c r="S3" s="1066"/>
      <c r="T3" s="1066"/>
      <c r="U3" s="1066"/>
      <c r="V3" s="1066"/>
      <c r="W3" s="1066"/>
      <c r="X3" s="1066"/>
      <c r="Y3" s="1067"/>
      <c r="Z3" s="650"/>
      <c r="AA3" s="923"/>
      <c r="AB3" s="189" t="s">
        <v>359</v>
      </c>
      <c r="AC3" s="189" t="s">
        <v>996</v>
      </c>
      <c r="AD3" s="189" t="s">
        <v>997</v>
      </c>
      <c r="AE3" s="923"/>
      <c r="AF3" s="914"/>
    </row>
    <row r="4" spans="2:32" ht="18" customHeight="1" x14ac:dyDescent="0.3">
      <c r="B4" s="91"/>
      <c r="C4" s="1068"/>
      <c r="D4" s="1069"/>
      <c r="E4" s="1069"/>
      <c r="F4" s="1069"/>
      <c r="G4" s="1069"/>
      <c r="H4" s="1069"/>
      <c r="I4" s="1069"/>
      <c r="J4" s="1069"/>
      <c r="K4" s="1069"/>
      <c r="L4" s="1069"/>
      <c r="M4" s="1069"/>
      <c r="N4" s="1069"/>
      <c r="O4" s="1069"/>
      <c r="P4" s="1069"/>
      <c r="Q4" s="1069"/>
      <c r="R4" s="1069"/>
      <c r="S4" s="1069"/>
      <c r="T4" s="1069"/>
      <c r="U4" s="1069"/>
      <c r="V4" s="1069"/>
      <c r="W4" s="1069"/>
      <c r="X4" s="1069"/>
      <c r="Y4" s="1070"/>
      <c r="Z4" s="641"/>
      <c r="AA4" s="914"/>
      <c r="AB4" s="924"/>
      <c r="AC4" s="925"/>
      <c r="AD4" s="890"/>
      <c r="AE4" s="914"/>
      <c r="AF4" s="914"/>
    </row>
    <row r="5" spans="2:32" ht="18" customHeight="1" x14ac:dyDescent="0.3">
      <c r="B5" s="91"/>
      <c r="C5" s="1071"/>
      <c r="D5" s="1072"/>
      <c r="E5" s="1072"/>
      <c r="F5" s="1072"/>
      <c r="G5" s="1072"/>
      <c r="H5" s="1072"/>
      <c r="I5" s="1072"/>
      <c r="J5" s="1072"/>
      <c r="K5" s="1072"/>
      <c r="L5" s="1072"/>
      <c r="M5" s="1072"/>
      <c r="N5" s="1072"/>
      <c r="O5" s="1072"/>
      <c r="P5" s="1072"/>
      <c r="Q5" s="1072"/>
      <c r="R5" s="1072"/>
      <c r="S5" s="1072"/>
      <c r="T5" s="1072"/>
      <c r="U5" s="1072"/>
      <c r="V5" s="1072"/>
      <c r="W5" s="1072"/>
      <c r="X5" s="1072"/>
      <c r="Y5" s="1073"/>
      <c r="Z5" s="641"/>
      <c r="AA5" s="914"/>
      <c r="AB5" s="926"/>
      <c r="AC5" s="927"/>
      <c r="AD5" s="890"/>
      <c r="AE5" s="914"/>
      <c r="AF5" s="914"/>
    </row>
    <row r="6" spans="2:32" ht="18" customHeight="1" x14ac:dyDescent="0.3">
      <c r="B6" s="91"/>
      <c r="C6" s="914"/>
      <c r="D6" s="914"/>
      <c r="E6" s="914"/>
      <c r="F6" s="914"/>
      <c r="G6" s="914"/>
      <c r="H6" s="914"/>
      <c r="I6" s="914"/>
      <c r="J6" s="914"/>
      <c r="M6" s="928"/>
      <c r="N6" s="928"/>
      <c r="O6" s="928"/>
      <c r="P6" s="914"/>
      <c r="R6" s="914"/>
      <c r="S6" s="914"/>
      <c r="T6" s="914"/>
      <c r="Y6" s="914"/>
      <c r="Z6" s="641"/>
      <c r="AA6" s="914"/>
      <c r="AB6" s="926"/>
      <c r="AC6" s="927"/>
      <c r="AD6" s="890"/>
      <c r="AE6" s="914"/>
      <c r="AF6" s="914"/>
    </row>
    <row r="7" spans="2:32" ht="18" customHeight="1" x14ac:dyDescent="0.35">
      <c r="B7" s="91"/>
      <c r="C7" s="914"/>
      <c r="D7" s="914"/>
      <c r="E7" s="914"/>
      <c r="H7" s="929"/>
      <c r="I7" s="930"/>
      <c r="J7" s="654"/>
      <c r="K7" s="931"/>
      <c r="L7" s="932" t="s">
        <v>696</v>
      </c>
      <c r="M7" s="931"/>
      <c r="N7" s="931"/>
      <c r="O7" s="931"/>
      <c r="P7" s="654"/>
      <c r="R7" s="930"/>
      <c r="S7" s="930"/>
      <c r="T7" s="930"/>
      <c r="Y7" s="914"/>
      <c r="Z7" s="641"/>
      <c r="AA7" s="914"/>
      <c r="AB7" s="926"/>
      <c r="AC7" s="927"/>
      <c r="AD7" s="890"/>
      <c r="AE7" s="914"/>
      <c r="AF7" s="914"/>
    </row>
    <row r="8" spans="2:32" ht="18" customHeight="1" x14ac:dyDescent="0.35">
      <c r="B8" s="91"/>
      <c r="C8" s="914"/>
      <c r="J8" s="654"/>
      <c r="K8" s="931"/>
      <c r="L8" s="932" t="s">
        <v>688</v>
      </c>
      <c r="M8" s="931"/>
      <c r="N8" s="931"/>
      <c r="O8" s="931"/>
      <c r="P8" s="654"/>
      <c r="Z8" s="84"/>
      <c r="AB8" s="926"/>
      <c r="AC8" s="927"/>
      <c r="AD8" s="890"/>
      <c r="AF8" s="914"/>
    </row>
    <row r="9" spans="2:32" ht="18" customHeight="1" x14ac:dyDescent="0.35">
      <c r="B9" s="91"/>
      <c r="C9" s="914"/>
      <c r="J9" s="931"/>
      <c r="K9" s="931"/>
      <c r="L9" s="932" t="s">
        <v>689</v>
      </c>
      <c r="M9" s="654"/>
      <c r="N9" s="654"/>
      <c r="O9" s="654"/>
      <c r="P9" s="654"/>
      <c r="Z9" s="84"/>
      <c r="AB9" s="926"/>
      <c r="AC9" s="927"/>
      <c r="AD9" s="890"/>
      <c r="AF9" s="914"/>
    </row>
    <row r="10" spans="2:32" ht="18" customHeight="1" x14ac:dyDescent="0.3">
      <c r="B10" s="91"/>
      <c r="C10" s="914"/>
      <c r="D10" s="914"/>
      <c r="E10" s="914"/>
      <c r="F10" s="914"/>
      <c r="L10" s="929"/>
      <c r="R10" s="930"/>
      <c r="S10" s="930"/>
      <c r="T10" s="930"/>
      <c r="U10" s="930"/>
      <c r="V10" s="930"/>
      <c r="W10" s="930"/>
      <c r="X10" s="914"/>
      <c r="Y10" s="914"/>
      <c r="Z10" s="641"/>
      <c r="AA10" s="914"/>
      <c r="AB10" s="926"/>
      <c r="AC10" s="927"/>
      <c r="AD10" s="890"/>
      <c r="AE10" s="914"/>
      <c r="AF10" s="914"/>
    </row>
    <row r="11" spans="2:32" ht="18" customHeight="1" x14ac:dyDescent="0.35">
      <c r="B11" s="91"/>
      <c r="C11" s="914"/>
      <c r="D11" s="914"/>
      <c r="E11" s="914"/>
      <c r="F11" s="914"/>
      <c r="G11" s="914"/>
      <c r="H11" s="914"/>
      <c r="I11" s="933"/>
      <c r="J11" s="653"/>
      <c r="K11" s="653"/>
      <c r="L11" s="934" t="s">
        <v>998</v>
      </c>
      <c r="M11" s="934"/>
      <c r="N11" s="934"/>
      <c r="O11" s="934"/>
      <c r="P11" s="934"/>
      <c r="Q11" s="934"/>
      <c r="R11" s="929"/>
      <c r="S11" s="874"/>
      <c r="T11" s="914"/>
      <c r="U11" s="914"/>
      <c r="V11" s="914"/>
      <c r="W11" s="914"/>
      <c r="X11" s="914"/>
      <c r="Y11" s="914"/>
      <c r="Z11" s="641"/>
      <c r="AA11" s="914"/>
      <c r="AB11" s="926"/>
      <c r="AC11" s="927"/>
      <c r="AD11" s="890"/>
      <c r="AE11" s="914"/>
      <c r="AF11" s="914"/>
    </row>
    <row r="12" spans="2:32" ht="18" customHeight="1" x14ac:dyDescent="0.35">
      <c r="B12" s="91"/>
      <c r="C12" s="914"/>
      <c r="I12" s="651"/>
      <c r="J12" s="935"/>
      <c r="K12" s="653"/>
      <c r="L12" s="934" t="s">
        <v>690</v>
      </c>
      <c r="M12" s="936"/>
      <c r="N12" s="936"/>
      <c r="O12" s="936"/>
      <c r="P12" s="936"/>
      <c r="Q12" s="936"/>
      <c r="R12" s="937"/>
      <c r="S12" s="874"/>
      <c r="T12" s="914"/>
      <c r="U12" s="914"/>
      <c r="V12" s="914"/>
      <c r="W12" s="914"/>
      <c r="X12" s="914"/>
      <c r="Y12" s="914"/>
      <c r="Z12" s="641"/>
      <c r="AA12" s="914"/>
      <c r="AB12" s="926"/>
      <c r="AC12" s="927"/>
      <c r="AD12" s="890"/>
      <c r="AE12" s="914"/>
      <c r="AF12" s="914"/>
    </row>
    <row r="13" spans="2:32" ht="18" customHeight="1" x14ac:dyDescent="0.3">
      <c r="B13" s="91"/>
      <c r="C13" s="914"/>
      <c r="I13" s="652"/>
      <c r="J13" s="938"/>
      <c r="K13" s="652"/>
      <c r="L13" s="939" t="s">
        <v>703</v>
      </c>
      <c r="M13" s="939"/>
      <c r="N13" s="939"/>
      <c r="O13" s="939"/>
      <c r="P13" s="939"/>
      <c r="Q13" s="939"/>
      <c r="R13" s="939"/>
      <c r="S13" s="939"/>
      <c r="T13" s="938"/>
      <c r="U13" s="914"/>
      <c r="V13" s="914"/>
      <c r="W13" s="914"/>
      <c r="X13" s="914"/>
      <c r="Y13" s="914"/>
      <c r="Z13" s="641"/>
      <c r="AA13" s="914"/>
      <c r="AB13" s="926"/>
      <c r="AC13" s="927"/>
      <c r="AD13" s="890"/>
      <c r="AE13" s="914"/>
      <c r="AF13" s="914"/>
    </row>
    <row r="14" spans="2:32" ht="18" customHeight="1" x14ac:dyDescent="0.3">
      <c r="B14" s="91"/>
      <c r="C14" s="914"/>
      <c r="J14" s="914"/>
      <c r="K14" s="914"/>
      <c r="L14" s="914"/>
      <c r="M14" s="914"/>
      <c r="N14" s="914"/>
      <c r="O14" s="914"/>
      <c r="P14" s="914"/>
      <c r="Q14" s="914"/>
      <c r="R14" s="914"/>
      <c r="S14" s="914"/>
      <c r="Y14" s="914"/>
      <c r="Z14" s="641"/>
      <c r="AA14" s="914"/>
      <c r="AB14" s="926"/>
      <c r="AC14" s="927"/>
      <c r="AD14" s="890"/>
      <c r="AE14" s="914"/>
      <c r="AF14" s="914"/>
    </row>
    <row r="15" spans="2:32" ht="18" customHeight="1" x14ac:dyDescent="0.3">
      <c r="B15" s="91"/>
      <c r="C15" s="1074" t="s">
        <v>706</v>
      </c>
      <c r="D15" s="1075"/>
      <c r="E15" s="1076"/>
      <c r="F15" s="1077" t="s">
        <v>1089</v>
      </c>
      <c r="G15" s="1078"/>
      <c r="H15" s="1078"/>
      <c r="I15" s="1078"/>
      <c r="J15" s="1078"/>
      <c r="K15" s="1078"/>
      <c r="L15" s="1078"/>
      <c r="M15" s="1078"/>
      <c r="N15" s="1078"/>
      <c r="O15" s="1078"/>
      <c r="P15" s="1078"/>
      <c r="Q15" s="1078"/>
      <c r="R15" s="1078"/>
      <c r="S15" s="1078"/>
      <c r="T15" s="1078"/>
      <c r="U15" s="1078"/>
      <c r="V15" s="1078"/>
      <c r="W15" s="1078"/>
      <c r="X15" s="1078"/>
      <c r="Y15" s="1079"/>
      <c r="Z15" s="84"/>
      <c r="AB15" s="926"/>
      <c r="AC15" s="927"/>
      <c r="AD15" s="890"/>
      <c r="AF15" s="914"/>
    </row>
    <row r="16" spans="2:32" ht="18" customHeight="1" x14ac:dyDescent="0.3">
      <c r="B16" s="91"/>
      <c r="C16" s="914"/>
      <c r="D16" s="914"/>
      <c r="E16" s="914"/>
      <c r="F16" s="914"/>
      <c r="G16" s="914"/>
      <c r="H16" s="914"/>
      <c r="I16" s="914"/>
      <c r="J16" s="914"/>
      <c r="K16" s="914"/>
      <c r="L16" s="914"/>
      <c r="M16" s="914"/>
      <c r="N16" s="914"/>
      <c r="O16" s="914"/>
      <c r="P16" s="914"/>
      <c r="Q16" s="914"/>
      <c r="R16" s="914"/>
      <c r="S16" s="914"/>
      <c r="T16" s="914"/>
      <c r="U16" s="914"/>
      <c r="V16" s="914"/>
      <c r="W16" s="914"/>
      <c r="X16" s="914"/>
      <c r="Y16" s="914"/>
      <c r="Z16" s="641"/>
      <c r="AA16" s="914"/>
      <c r="AB16" s="926"/>
      <c r="AC16" s="927"/>
      <c r="AD16" s="890"/>
      <c r="AE16" s="914"/>
      <c r="AF16" s="914"/>
    </row>
    <row r="17" spans="2:32" ht="18" customHeight="1" x14ac:dyDescent="0.3">
      <c r="B17" s="91"/>
      <c r="C17" s="412"/>
      <c r="D17" s="639"/>
      <c r="E17" s="639"/>
      <c r="F17" s="639"/>
      <c r="G17" s="639"/>
      <c r="H17" s="639"/>
      <c r="I17" s="639"/>
      <c r="J17" s="639"/>
      <c r="K17" s="639"/>
      <c r="L17" s="639"/>
      <c r="M17" s="639"/>
      <c r="N17" s="639"/>
      <c r="O17" s="639"/>
      <c r="P17" s="639"/>
      <c r="Q17" s="640"/>
      <c r="R17" s="914"/>
      <c r="S17" s="412"/>
      <c r="T17" s="639"/>
      <c r="U17" s="639"/>
      <c r="V17" s="639"/>
      <c r="W17" s="639"/>
      <c r="X17" s="639"/>
      <c r="Y17" s="640"/>
      <c r="Z17" s="641"/>
      <c r="AA17" s="914"/>
      <c r="AB17" s="926"/>
      <c r="AC17" s="927"/>
      <c r="AD17" s="890"/>
      <c r="AE17" s="914"/>
      <c r="AF17" s="914"/>
    </row>
    <row r="18" spans="2:32" ht="18" customHeight="1" x14ac:dyDescent="0.3">
      <c r="B18" s="91"/>
      <c r="C18" s="400"/>
      <c r="D18" s="1062" t="s">
        <v>694</v>
      </c>
      <c r="E18" s="1063"/>
      <c r="F18" s="1063"/>
      <c r="G18" s="1063"/>
      <c r="H18" s="1063"/>
      <c r="I18" s="1063"/>
      <c r="J18" s="1063"/>
      <c r="K18" s="1064"/>
      <c r="L18" s="1059" t="s">
        <v>692</v>
      </c>
      <c r="M18" s="1060"/>
      <c r="N18" s="1060"/>
      <c r="O18" s="1060"/>
      <c r="P18" s="1061"/>
      <c r="Q18" s="641"/>
      <c r="R18" s="914"/>
      <c r="S18" s="400"/>
      <c r="T18" s="1051" t="s">
        <v>699</v>
      </c>
      <c r="U18" s="1052"/>
      <c r="V18" s="1053" t="s">
        <v>697</v>
      </c>
      <c r="W18" s="1054"/>
      <c r="X18" s="1055"/>
      <c r="Y18" s="641"/>
      <c r="Z18" s="641"/>
      <c r="AA18" s="914"/>
      <c r="AB18" s="926"/>
      <c r="AC18" s="927"/>
      <c r="AD18" s="890"/>
      <c r="AE18" s="914"/>
      <c r="AF18" s="914"/>
    </row>
    <row r="19" spans="2:32" ht="18" customHeight="1" x14ac:dyDescent="0.3">
      <c r="B19" s="91"/>
      <c r="C19" s="400"/>
      <c r="D19" s="914"/>
      <c r="E19" s="914"/>
      <c r="F19" s="914"/>
      <c r="G19" s="914"/>
      <c r="I19" s="930"/>
      <c r="J19" s="930"/>
      <c r="K19" s="930"/>
      <c r="L19" s="930"/>
      <c r="M19" s="930"/>
      <c r="N19" s="930"/>
      <c r="O19" s="930"/>
      <c r="P19" s="930"/>
      <c r="Q19" s="641"/>
      <c r="R19" s="914"/>
      <c r="S19" s="400"/>
      <c r="T19" s="1051" t="s">
        <v>700</v>
      </c>
      <c r="U19" s="1052"/>
      <c r="V19" s="1053" t="s">
        <v>1107</v>
      </c>
      <c r="W19" s="1054"/>
      <c r="X19" s="1055"/>
      <c r="Y19" s="641"/>
      <c r="Z19" s="641"/>
      <c r="AA19" s="914"/>
      <c r="AB19" s="926"/>
      <c r="AC19" s="927"/>
      <c r="AD19" s="890"/>
      <c r="AE19" s="914"/>
      <c r="AF19" s="914"/>
    </row>
    <row r="20" spans="2:32" ht="18" customHeight="1" x14ac:dyDescent="0.3">
      <c r="B20" s="91"/>
      <c r="C20" s="400"/>
      <c r="D20" s="938" t="s">
        <v>999</v>
      </c>
      <c r="E20" s="938"/>
      <c r="F20" s="938"/>
      <c r="G20" s="938"/>
      <c r="H20" s="652"/>
      <c r="I20" s="938"/>
      <c r="J20" s="938"/>
      <c r="K20" s="938"/>
      <c r="L20" s="938"/>
      <c r="M20" s="938"/>
      <c r="N20" s="938"/>
      <c r="O20" s="938"/>
      <c r="P20" s="938"/>
      <c r="Q20" s="641"/>
      <c r="R20" s="914"/>
      <c r="S20" s="400"/>
      <c r="T20" s="1051" t="s">
        <v>701</v>
      </c>
      <c r="U20" s="1052"/>
      <c r="V20" s="1056" t="s">
        <v>1000</v>
      </c>
      <c r="W20" s="1057"/>
      <c r="X20" s="1058"/>
      <c r="Y20" s="641"/>
      <c r="Z20" s="641"/>
      <c r="AA20" s="914"/>
      <c r="AB20" s="926"/>
      <c r="AC20" s="927"/>
      <c r="AD20" s="890"/>
      <c r="AE20" s="914"/>
      <c r="AF20" s="914"/>
    </row>
    <row r="21" spans="2:32" ht="18" customHeight="1" x14ac:dyDescent="0.3">
      <c r="B21" s="91"/>
      <c r="C21" s="400"/>
      <c r="D21" s="938" t="s">
        <v>1001</v>
      </c>
      <c r="E21" s="938"/>
      <c r="F21" s="938"/>
      <c r="G21" s="938"/>
      <c r="H21" s="652"/>
      <c r="I21" s="938"/>
      <c r="J21" s="938"/>
      <c r="K21" s="938"/>
      <c r="L21" s="938"/>
      <c r="M21" s="938"/>
      <c r="N21" s="938"/>
      <c r="O21" s="938"/>
      <c r="P21" s="938"/>
      <c r="Q21" s="641"/>
      <c r="R21" s="914"/>
      <c r="S21" s="400"/>
      <c r="T21" s="1051" t="s">
        <v>702</v>
      </c>
      <c r="U21" s="1052"/>
      <c r="V21" s="1059" t="s">
        <v>1002</v>
      </c>
      <c r="W21" s="1060"/>
      <c r="X21" s="1061"/>
      <c r="Y21" s="641"/>
      <c r="Z21" s="641"/>
      <c r="AA21" s="914"/>
      <c r="AB21" s="926"/>
      <c r="AC21" s="927"/>
      <c r="AD21" s="890"/>
      <c r="AE21" s="914"/>
      <c r="AF21" s="914"/>
    </row>
    <row r="22" spans="2:32" ht="18" customHeight="1" x14ac:dyDescent="0.3">
      <c r="B22" s="91"/>
      <c r="C22" s="400"/>
      <c r="E22" s="940" t="s">
        <v>1003</v>
      </c>
      <c r="F22" s="940"/>
      <c r="G22" s="940"/>
      <c r="J22" s="938"/>
      <c r="K22" s="938"/>
      <c r="L22" s="938"/>
      <c r="M22" s="938"/>
      <c r="N22" s="938"/>
      <c r="O22" s="938"/>
      <c r="P22" s="938"/>
      <c r="Q22" s="641"/>
      <c r="R22" s="914"/>
      <c r="S22" s="400"/>
      <c r="Y22" s="641"/>
      <c r="Z22" s="641"/>
      <c r="AA22" s="914"/>
      <c r="AB22" s="926"/>
      <c r="AC22" s="927"/>
      <c r="AD22" s="890"/>
      <c r="AE22" s="914"/>
      <c r="AF22" s="914"/>
    </row>
    <row r="23" spans="2:32" ht="18" customHeight="1" x14ac:dyDescent="0.3">
      <c r="B23" s="91"/>
      <c r="C23" s="400"/>
      <c r="E23" s="940" t="s">
        <v>1004</v>
      </c>
      <c r="F23" s="940"/>
      <c r="G23" s="940"/>
      <c r="J23" s="938"/>
      <c r="K23" s="938"/>
      <c r="L23" s="938"/>
      <c r="M23" s="938"/>
      <c r="N23" s="938"/>
      <c r="O23" s="938"/>
      <c r="P23" s="938"/>
      <c r="Q23" s="641"/>
      <c r="R23" s="914"/>
      <c r="S23" s="400"/>
      <c r="T23" s="1039" t="s">
        <v>698</v>
      </c>
      <c r="U23" s="1040"/>
      <c r="V23" s="1040"/>
      <c r="W23" s="1040"/>
      <c r="X23" s="1041"/>
      <c r="Y23" s="641"/>
      <c r="Z23" s="641"/>
      <c r="AA23" s="914"/>
      <c r="AB23" s="926"/>
      <c r="AC23" s="927"/>
      <c r="AD23" s="890"/>
      <c r="AE23" s="914"/>
      <c r="AF23" s="914"/>
    </row>
    <row r="24" spans="2:32" ht="18" customHeight="1" x14ac:dyDescent="0.3">
      <c r="B24" s="91"/>
      <c r="C24" s="400"/>
      <c r="D24" s="938" t="s">
        <v>1005</v>
      </c>
      <c r="E24" s="938"/>
      <c r="F24" s="938"/>
      <c r="G24" s="938"/>
      <c r="H24" s="938"/>
      <c r="I24" s="938"/>
      <c r="J24" s="938"/>
      <c r="K24" s="938"/>
      <c r="L24" s="938"/>
      <c r="M24" s="938"/>
      <c r="N24" s="938"/>
      <c r="O24" s="938"/>
      <c r="P24" s="938"/>
      <c r="Q24" s="641"/>
      <c r="R24" s="914"/>
      <c r="S24" s="400"/>
      <c r="T24" s="1042" t="s">
        <v>1108</v>
      </c>
      <c r="U24" s="1043"/>
      <c r="V24" s="1043"/>
      <c r="W24" s="1043"/>
      <c r="X24" s="1044"/>
      <c r="Y24" s="641"/>
      <c r="Z24" s="641"/>
      <c r="AA24" s="914"/>
      <c r="AB24" s="926"/>
      <c r="AC24" s="927"/>
      <c r="AD24" s="890"/>
      <c r="AE24" s="914"/>
      <c r="AF24" s="914"/>
    </row>
    <row r="25" spans="2:32" ht="18" customHeight="1" x14ac:dyDescent="0.3">
      <c r="B25" s="91"/>
      <c r="C25" s="400"/>
      <c r="D25" s="938" t="s">
        <v>1006</v>
      </c>
      <c r="E25" s="938"/>
      <c r="F25" s="938"/>
      <c r="G25" s="938"/>
      <c r="H25" s="938"/>
      <c r="I25" s="938"/>
      <c r="J25" s="938"/>
      <c r="K25" s="938"/>
      <c r="L25" s="938"/>
      <c r="M25" s="938"/>
      <c r="N25" s="938"/>
      <c r="O25" s="938"/>
      <c r="P25" s="938"/>
      <c r="Q25" s="641"/>
      <c r="R25" s="914"/>
      <c r="S25" s="400"/>
      <c r="T25" s="1045"/>
      <c r="U25" s="1046"/>
      <c r="V25" s="1046"/>
      <c r="W25" s="1046"/>
      <c r="X25" s="1047"/>
      <c r="Y25" s="641"/>
      <c r="Z25" s="641"/>
      <c r="AA25" s="914"/>
      <c r="AB25" s="926"/>
      <c r="AC25" s="927"/>
      <c r="AD25" s="890"/>
      <c r="AE25" s="914"/>
      <c r="AF25" s="914"/>
    </row>
    <row r="26" spans="2:32" ht="18" customHeight="1" x14ac:dyDescent="0.3">
      <c r="B26" s="91"/>
      <c r="C26" s="400"/>
      <c r="D26" s="938" t="s">
        <v>1007</v>
      </c>
      <c r="E26" s="938"/>
      <c r="F26" s="938"/>
      <c r="G26" s="938"/>
      <c r="H26" s="938"/>
      <c r="I26" s="938"/>
      <c r="J26" s="938"/>
      <c r="K26" s="938"/>
      <c r="L26" s="938"/>
      <c r="M26" s="938"/>
      <c r="N26" s="938"/>
      <c r="O26" s="938"/>
      <c r="P26" s="938"/>
      <c r="Q26" s="641"/>
      <c r="R26" s="914"/>
      <c r="S26" s="400"/>
      <c r="T26" s="1045"/>
      <c r="U26" s="1046"/>
      <c r="V26" s="1046"/>
      <c r="W26" s="1046"/>
      <c r="X26" s="1047"/>
      <c r="Y26" s="641"/>
      <c r="Z26" s="641"/>
      <c r="AA26" s="914"/>
      <c r="AB26" s="926"/>
      <c r="AC26" s="927"/>
      <c r="AD26" s="890"/>
      <c r="AE26" s="914"/>
      <c r="AF26" s="914"/>
    </row>
    <row r="27" spans="2:32" ht="18" customHeight="1" x14ac:dyDescent="0.3">
      <c r="B27" s="91"/>
      <c r="C27" s="400"/>
      <c r="D27" s="938" t="s">
        <v>1008</v>
      </c>
      <c r="E27" s="938"/>
      <c r="F27" s="938"/>
      <c r="G27" s="938"/>
      <c r="H27" s="938"/>
      <c r="I27" s="938"/>
      <c r="J27" s="938"/>
      <c r="K27" s="938"/>
      <c r="L27" s="938"/>
      <c r="M27" s="938"/>
      <c r="N27" s="938"/>
      <c r="O27" s="938"/>
      <c r="P27" s="938"/>
      <c r="Q27" s="641"/>
      <c r="R27" s="914"/>
      <c r="S27" s="400"/>
      <c r="T27" s="1048"/>
      <c r="U27" s="1049"/>
      <c r="V27" s="1049"/>
      <c r="W27" s="1049"/>
      <c r="X27" s="1050"/>
      <c r="Y27" s="641"/>
      <c r="Z27" s="641"/>
      <c r="AA27" s="914"/>
      <c r="AB27" s="926"/>
      <c r="AC27" s="927"/>
      <c r="AD27" s="890"/>
      <c r="AE27" s="914"/>
      <c r="AF27" s="914"/>
    </row>
    <row r="28" spans="2:32" ht="18" customHeight="1" x14ac:dyDescent="0.3">
      <c r="B28" s="91"/>
      <c r="C28" s="642"/>
      <c r="D28" s="643"/>
      <c r="E28" s="643"/>
      <c r="F28" s="643"/>
      <c r="G28" s="643"/>
      <c r="H28" s="643"/>
      <c r="I28" s="643"/>
      <c r="J28" s="643"/>
      <c r="K28" s="643"/>
      <c r="L28" s="643"/>
      <c r="M28" s="643"/>
      <c r="N28" s="643"/>
      <c r="O28" s="643"/>
      <c r="P28" s="643"/>
      <c r="Q28" s="644"/>
      <c r="R28" s="914"/>
      <c r="S28" s="642"/>
      <c r="T28" s="643"/>
      <c r="U28" s="643"/>
      <c r="V28" s="643"/>
      <c r="W28" s="643"/>
      <c r="X28" s="643"/>
      <c r="Y28" s="644"/>
      <c r="Z28" s="641"/>
      <c r="AA28" s="914"/>
      <c r="AB28" s="926"/>
      <c r="AC28" s="927"/>
      <c r="AD28" s="890"/>
      <c r="AE28" s="914"/>
      <c r="AF28" s="914"/>
    </row>
    <row r="29" spans="2:32" ht="18" customHeight="1" x14ac:dyDescent="0.3">
      <c r="B29" s="396"/>
      <c r="C29" s="643"/>
      <c r="D29" s="643"/>
      <c r="E29" s="643"/>
      <c r="F29" s="643"/>
      <c r="G29" s="643"/>
      <c r="H29" s="643"/>
      <c r="I29" s="643"/>
      <c r="J29" s="643"/>
      <c r="K29" s="643"/>
      <c r="L29" s="643"/>
      <c r="M29" s="643"/>
      <c r="N29" s="643"/>
      <c r="O29" s="643"/>
      <c r="P29" s="643"/>
      <c r="Q29" s="643"/>
      <c r="R29" s="643"/>
      <c r="S29" s="643"/>
      <c r="T29" s="643"/>
      <c r="U29" s="643"/>
      <c r="V29" s="643"/>
      <c r="W29" s="643"/>
      <c r="X29" s="643"/>
      <c r="Y29" s="643"/>
      <c r="Z29" s="644"/>
      <c r="AA29" s="914"/>
      <c r="AB29" s="941"/>
      <c r="AC29" s="942"/>
      <c r="AD29" s="893"/>
      <c r="AE29" s="914"/>
      <c r="AF29" s="914"/>
    </row>
    <row r="30" spans="2:32" ht="18" customHeight="1" x14ac:dyDescent="0.3">
      <c r="C30" s="914"/>
      <c r="D30" s="914"/>
      <c r="E30" s="914"/>
      <c r="F30" s="914"/>
      <c r="G30" s="914"/>
      <c r="H30" s="914"/>
      <c r="I30" s="914"/>
      <c r="J30" s="914"/>
      <c r="K30" s="914"/>
      <c r="L30" s="914"/>
      <c r="M30" s="914"/>
      <c r="N30" s="914"/>
      <c r="O30" s="914"/>
      <c r="P30" s="914"/>
      <c r="Q30" s="914"/>
      <c r="R30" s="914"/>
      <c r="S30" s="914"/>
      <c r="T30" s="914"/>
      <c r="U30" s="914"/>
      <c r="V30" s="914"/>
      <c r="W30" s="914"/>
      <c r="X30" s="914"/>
      <c r="Y30" s="914"/>
      <c r="Z30" s="914"/>
      <c r="AA30" s="914"/>
      <c r="AB30" s="914"/>
      <c r="AC30" s="914"/>
      <c r="AD30" s="914"/>
      <c r="AE30" s="914"/>
      <c r="AF30" s="914"/>
    </row>
    <row r="31" spans="2:32" ht="18" customHeight="1" x14ac:dyDescent="0.3">
      <c r="B31" s="943"/>
      <c r="C31" s="944"/>
      <c r="D31" s="945" t="s">
        <v>1009</v>
      </c>
      <c r="E31" s="944"/>
      <c r="F31" s="639"/>
      <c r="G31" s="639"/>
      <c r="H31" s="639"/>
      <c r="I31" s="639"/>
      <c r="J31" s="639"/>
      <c r="K31" s="639"/>
      <c r="L31" s="639"/>
      <c r="M31" s="639"/>
      <c r="N31" s="639"/>
      <c r="O31" s="639"/>
      <c r="P31" s="639"/>
      <c r="Q31" s="639"/>
      <c r="R31" s="639"/>
      <c r="S31" s="639"/>
      <c r="T31" s="639"/>
      <c r="U31" s="639"/>
      <c r="V31" s="639"/>
      <c r="W31" s="639"/>
      <c r="X31" s="639"/>
      <c r="Y31" s="639"/>
      <c r="Z31" s="639"/>
      <c r="AA31" s="639"/>
      <c r="AB31" s="639"/>
      <c r="AC31" s="639"/>
      <c r="AD31" s="640"/>
      <c r="AE31" s="914"/>
      <c r="AF31" s="914"/>
    </row>
    <row r="32" spans="2:32" ht="18" customHeight="1" x14ac:dyDescent="0.3">
      <c r="B32" s="400"/>
      <c r="C32" s="914"/>
      <c r="D32" s="914" t="s">
        <v>1010</v>
      </c>
      <c r="E32" s="914"/>
      <c r="F32" s="914"/>
      <c r="G32" s="914"/>
      <c r="H32" s="914"/>
      <c r="I32" s="914"/>
      <c r="J32" s="914"/>
      <c r="K32" s="914"/>
      <c r="L32" s="914"/>
      <c r="M32" s="914"/>
      <c r="N32" s="914"/>
      <c r="O32" s="914"/>
      <c r="P32" s="914"/>
      <c r="Q32" s="914"/>
      <c r="R32" s="914"/>
      <c r="S32" s="914"/>
      <c r="T32" s="914"/>
      <c r="U32" s="914"/>
      <c r="V32" s="914"/>
      <c r="W32" s="914"/>
      <c r="X32" s="914"/>
      <c r="Y32" s="914"/>
      <c r="Z32" s="914"/>
      <c r="AA32" s="914"/>
      <c r="AB32" s="914"/>
      <c r="AC32" s="914"/>
      <c r="AD32" s="641"/>
      <c r="AE32" s="914"/>
      <c r="AF32" s="914"/>
    </row>
    <row r="33" spans="2:32" ht="18" customHeight="1" x14ac:dyDescent="0.3">
      <c r="B33" s="400"/>
      <c r="C33" s="914"/>
      <c r="D33" s="914" t="s">
        <v>1011</v>
      </c>
      <c r="E33" s="914"/>
      <c r="F33" s="914"/>
      <c r="G33" s="914"/>
      <c r="H33" s="914"/>
      <c r="I33" s="914"/>
      <c r="J33" s="914"/>
      <c r="K33" s="914"/>
      <c r="L33" s="914"/>
      <c r="M33" s="914"/>
      <c r="N33" s="914"/>
      <c r="O33" s="914"/>
      <c r="P33" s="914"/>
      <c r="Q33" s="914"/>
      <c r="R33" s="914"/>
      <c r="S33" s="914"/>
      <c r="T33" s="914"/>
      <c r="U33" s="914"/>
      <c r="V33" s="914"/>
      <c r="W33" s="914"/>
      <c r="X33" s="914"/>
      <c r="Y33" s="914"/>
      <c r="Z33" s="914"/>
      <c r="AA33" s="914"/>
      <c r="AB33" s="914"/>
      <c r="AC33" s="914"/>
      <c r="AD33" s="641"/>
      <c r="AE33" s="914"/>
      <c r="AF33" s="914"/>
    </row>
    <row r="34" spans="2:32" ht="18" customHeight="1" x14ac:dyDescent="0.3">
      <c r="B34" s="400"/>
      <c r="C34" s="914"/>
      <c r="D34" s="914" t="s">
        <v>1012</v>
      </c>
      <c r="E34" s="914"/>
      <c r="F34" s="914"/>
      <c r="G34" s="914"/>
      <c r="H34" s="914"/>
      <c r="I34" s="914"/>
      <c r="J34" s="914"/>
      <c r="K34" s="914"/>
      <c r="L34" s="914"/>
      <c r="M34" s="914"/>
      <c r="N34" s="914"/>
      <c r="O34" s="914"/>
      <c r="P34" s="914"/>
      <c r="Q34" s="914"/>
      <c r="R34" s="914"/>
      <c r="S34" s="914"/>
      <c r="T34" s="914"/>
      <c r="U34" s="914"/>
      <c r="V34" s="914"/>
      <c r="W34" s="914"/>
      <c r="X34" s="914"/>
      <c r="Y34" s="914"/>
      <c r="Z34" s="914"/>
      <c r="AA34" s="914"/>
      <c r="AB34" s="914"/>
      <c r="AC34" s="914"/>
      <c r="AD34" s="641"/>
      <c r="AE34" s="914"/>
      <c r="AF34" s="914"/>
    </row>
    <row r="35" spans="2:32" ht="18" customHeight="1" x14ac:dyDescent="0.3">
      <c r="B35" s="642"/>
      <c r="C35" s="643"/>
      <c r="D35" s="643" t="s">
        <v>1013</v>
      </c>
      <c r="E35" s="643"/>
      <c r="F35" s="643"/>
      <c r="G35" s="643"/>
      <c r="H35" s="643"/>
      <c r="I35" s="643"/>
      <c r="J35" s="643"/>
      <c r="K35" s="643"/>
      <c r="L35" s="643"/>
      <c r="M35" s="643"/>
      <c r="N35" s="643"/>
      <c r="O35" s="643"/>
      <c r="P35" s="643"/>
      <c r="Q35" s="643"/>
      <c r="R35" s="643"/>
      <c r="S35" s="643"/>
      <c r="T35" s="643"/>
      <c r="U35" s="643"/>
      <c r="V35" s="643"/>
      <c r="W35" s="643"/>
      <c r="X35" s="643"/>
      <c r="Y35" s="643"/>
      <c r="Z35" s="643"/>
      <c r="AA35" s="643"/>
      <c r="AB35" s="643"/>
      <c r="AC35" s="643"/>
      <c r="AD35" s="644"/>
      <c r="AE35" s="914"/>
      <c r="AF35" s="914"/>
    </row>
    <row r="36" spans="2:32" ht="18" customHeight="1" x14ac:dyDescent="0.3">
      <c r="C36" s="914"/>
      <c r="D36" s="914"/>
      <c r="E36" s="914"/>
      <c r="F36" s="914"/>
      <c r="G36" s="914"/>
      <c r="H36" s="914"/>
      <c r="I36" s="914"/>
      <c r="J36" s="914"/>
      <c r="K36" s="914"/>
      <c r="L36" s="914"/>
      <c r="M36" s="914"/>
      <c r="N36" s="914"/>
      <c r="O36" s="914"/>
      <c r="P36" s="914"/>
      <c r="Q36" s="914"/>
      <c r="R36" s="914"/>
      <c r="S36" s="914"/>
      <c r="T36" s="914"/>
      <c r="U36" s="914"/>
      <c r="V36" s="914"/>
      <c r="W36" s="914"/>
      <c r="X36" s="914"/>
      <c r="Y36" s="914"/>
      <c r="Z36" s="914"/>
      <c r="AA36" s="914"/>
      <c r="AB36" s="914"/>
      <c r="AC36" s="914"/>
      <c r="AD36" s="914"/>
      <c r="AE36" s="914"/>
      <c r="AF36" s="914"/>
    </row>
    <row r="37" spans="2:32" ht="18.600000000000001" customHeight="1" x14ac:dyDescent="0.3">
      <c r="C37" s="914"/>
      <c r="D37" s="914"/>
      <c r="E37" s="914"/>
      <c r="F37" s="914"/>
      <c r="G37" s="914"/>
      <c r="H37" s="914"/>
      <c r="I37" s="914"/>
      <c r="J37" s="914"/>
      <c r="K37" s="914"/>
      <c r="L37" s="914"/>
      <c r="M37" s="914"/>
      <c r="N37" s="914"/>
      <c r="O37" s="914"/>
      <c r="P37" s="914"/>
      <c r="Q37" s="914"/>
      <c r="R37" s="914"/>
      <c r="S37" s="914"/>
      <c r="T37" s="914"/>
      <c r="U37" s="914"/>
      <c r="V37" s="914"/>
      <c r="W37" s="914"/>
      <c r="X37" s="914"/>
      <c r="Y37" s="914"/>
      <c r="Z37" s="914"/>
      <c r="AA37" s="914"/>
      <c r="AB37" s="914"/>
      <c r="AC37" s="914"/>
      <c r="AD37" s="914"/>
      <c r="AE37" s="914"/>
      <c r="AF37" s="914"/>
    </row>
    <row r="38" spans="2:32" ht="18.600000000000001" customHeight="1" x14ac:dyDescent="0.3">
      <c r="C38" s="914"/>
      <c r="D38" s="914"/>
      <c r="E38" s="914"/>
      <c r="F38" s="914"/>
      <c r="G38" s="914"/>
      <c r="H38" s="914"/>
      <c r="I38" s="914"/>
      <c r="J38" s="914"/>
      <c r="K38" s="914"/>
      <c r="L38" s="914"/>
      <c r="M38" s="914"/>
      <c r="N38" s="914"/>
      <c r="O38" s="914"/>
      <c r="P38" s="914"/>
      <c r="Q38" s="914"/>
      <c r="R38" s="914"/>
      <c r="S38" s="914"/>
      <c r="T38" s="914"/>
      <c r="U38" s="914"/>
      <c r="V38" s="914"/>
      <c r="W38" s="914"/>
      <c r="X38" s="914"/>
      <c r="Y38" s="914"/>
      <c r="Z38" s="914"/>
      <c r="AA38" s="914"/>
      <c r="AB38" s="914"/>
      <c r="AC38" s="914"/>
      <c r="AD38" s="914"/>
      <c r="AE38" s="914"/>
      <c r="AF38" s="914"/>
    </row>
    <row r="39" spans="2:32" ht="18.600000000000001" customHeight="1" x14ac:dyDescent="0.3">
      <c r="C39" s="914"/>
      <c r="D39" s="914"/>
      <c r="E39" s="914"/>
      <c r="F39" s="914"/>
      <c r="G39" s="914"/>
      <c r="H39" s="914"/>
      <c r="I39" s="914"/>
      <c r="J39" s="914"/>
      <c r="K39" s="914"/>
      <c r="L39" s="914"/>
      <c r="M39" s="914"/>
      <c r="N39" s="914"/>
      <c r="O39" s="914"/>
      <c r="P39" s="914"/>
      <c r="Q39" s="914"/>
      <c r="R39" s="914"/>
      <c r="S39" s="914"/>
      <c r="T39" s="914"/>
      <c r="U39" s="914"/>
      <c r="V39" s="914"/>
      <c r="W39" s="914"/>
      <c r="X39" s="914"/>
      <c r="Y39" s="914"/>
      <c r="Z39" s="914"/>
      <c r="AA39" s="914"/>
      <c r="AB39" s="914"/>
      <c r="AC39" s="914"/>
      <c r="AD39" s="914"/>
      <c r="AE39" s="914"/>
      <c r="AF39" s="914"/>
    </row>
    <row r="40" spans="2:32" ht="18.600000000000001" customHeight="1" x14ac:dyDescent="0.3">
      <c r="C40" s="914"/>
      <c r="D40" s="914"/>
      <c r="E40" s="914"/>
      <c r="F40" s="914"/>
      <c r="G40" s="914"/>
      <c r="H40" s="914"/>
      <c r="I40" s="914"/>
      <c r="J40" s="914"/>
      <c r="K40" s="914"/>
      <c r="L40" s="914"/>
      <c r="M40" s="914"/>
      <c r="N40" s="914"/>
      <c r="O40" s="914"/>
      <c r="P40" s="914"/>
      <c r="Q40" s="914"/>
      <c r="R40" s="914"/>
      <c r="S40" s="914"/>
      <c r="T40" s="914"/>
      <c r="U40" s="914"/>
      <c r="V40" s="914"/>
      <c r="W40" s="914"/>
      <c r="X40" s="914"/>
      <c r="Y40" s="914"/>
      <c r="Z40" s="914"/>
      <c r="AA40" s="914"/>
      <c r="AB40" s="914"/>
      <c r="AC40" s="914"/>
      <c r="AD40" s="914"/>
      <c r="AE40" s="914"/>
      <c r="AF40" s="914"/>
    </row>
    <row r="41" spans="2:32" ht="18.600000000000001" customHeight="1" x14ac:dyDescent="0.3">
      <c r="C41" s="914"/>
      <c r="D41" s="914"/>
      <c r="E41" s="914"/>
      <c r="F41" s="914"/>
      <c r="G41" s="914"/>
      <c r="H41" s="914"/>
      <c r="I41" s="914"/>
      <c r="J41" s="914"/>
      <c r="K41" s="914"/>
      <c r="L41" s="914"/>
      <c r="M41" s="914"/>
      <c r="N41" s="914"/>
      <c r="O41" s="914"/>
      <c r="P41" s="914"/>
      <c r="Q41" s="914"/>
      <c r="R41" s="914"/>
      <c r="S41" s="914"/>
      <c r="T41" s="914"/>
      <c r="U41" s="914"/>
      <c r="V41" s="914"/>
      <c r="W41" s="914"/>
      <c r="X41" s="914"/>
      <c r="Y41" s="914"/>
      <c r="Z41" s="914"/>
      <c r="AA41" s="914"/>
      <c r="AB41" s="914"/>
      <c r="AC41" s="914"/>
      <c r="AD41" s="914"/>
      <c r="AE41" s="914"/>
      <c r="AF41" s="914"/>
    </row>
  </sheetData>
  <mergeCells count="16">
    <mergeCell ref="AB2:AD2"/>
    <mergeCell ref="C3:Y5"/>
    <mergeCell ref="C15:E15"/>
    <mergeCell ref="F15:Y15"/>
    <mergeCell ref="D18:K18"/>
    <mergeCell ref="L18:P18"/>
    <mergeCell ref="T18:U18"/>
    <mergeCell ref="V18:X18"/>
    <mergeCell ref="T23:X23"/>
    <mergeCell ref="T24:X27"/>
    <mergeCell ref="T19:U19"/>
    <mergeCell ref="V19:X19"/>
    <mergeCell ref="T20:U20"/>
    <mergeCell ref="V20:X20"/>
    <mergeCell ref="T21:U21"/>
    <mergeCell ref="V21:X21"/>
  </mergeCells>
  <hyperlinks>
    <hyperlink ref="V21:X21" r:id="rId1" display="Link" xr:uid="{230117D5-D3EF-47AD-AE8D-08A2B8145919}"/>
    <hyperlink ref="L18:P18" r:id="rId2" display="Link" xr:uid="{F8F4A843-FB34-4E20-88A2-497E683F5BDB}"/>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S110"/>
  <sheetViews>
    <sheetView showGridLines="0" zoomScale="55" zoomScaleNormal="55" workbookViewId="0">
      <selection activeCell="Q30" sqref="Q30"/>
    </sheetView>
  </sheetViews>
  <sheetFormatPr defaultColWidth="11.109375" defaultRowHeight="14.4" x14ac:dyDescent="0.3"/>
  <cols>
    <col min="1" max="2" width="3.44140625" customWidth="1"/>
    <col min="3" max="3" width="3.6640625" customWidth="1"/>
    <col min="4" max="4" width="28.33203125" bestFit="1" customWidth="1"/>
    <col min="5" max="10" width="22.33203125" customWidth="1"/>
    <col min="11" max="14" width="3" customWidth="1"/>
    <col min="15" max="20" width="16.88671875" customWidth="1"/>
    <col min="21" max="21" width="3.5546875" customWidth="1"/>
    <col min="22" max="27" width="17.6640625" customWidth="1"/>
    <col min="28" max="30" width="3" customWidth="1"/>
    <col min="31" max="47" width="20.44140625" customWidth="1"/>
    <col min="48" max="52" width="19.109375" customWidth="1"/>
  </cols>
  <sheetData>
    <row r="1" spans="1:71"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71"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71" ht="22.2" customHeight="1" x14ac:dyDescent="0.3">
      <c r="A3" s="83"/>
      <c r="B3" s="104"/>
      <c r="C3" s="1102" t="s">
        <v>658</v>
      </c>
      <c r="D3" s="1103"/>
      <c r="E3" s="1103"/>
      <c r="F3" s="1103"/>
      <c r="G3" s="1103"/>
      <c r="H3" s="1103"/>
      <c r="I3" s="1103"/>
      <c r="J3" s="1103"/>
      <c r="K3" s="1104"/>
      <c r="L3" s="106"/>
      <c r="M3" s="105"/>
      <c r="N3" s="120"/>
      <c r="O3" s="1096" t="str">
        <f>+E6&amp;" Diagram"</f>
        <v>GSR-H₂  Diagram</v>
      </c>
      <c r="P3" s="1097"/>
      <c r="Q3" s="1097"/>
      <c r="R3" s="1097"/>
      <c r="S3" s="1097"/>
      <c r="T3" s="1097"/>
      <c r="U3" s="1097"/>
      <c r="V3" s="1097"/>
      <c r="W3" s="1097"/>
      <c r="X3" s="1097"/>
      <c r="Y3" s="1097"/>
      <c r="Z3" s="1097"/>
      <c r="AA3" s="1098"/>
      <c r="AB3" s="113"/>
      <c r="AC3" s="105"/>
      <c r="AD3" s="105"/>
      <c r="AE3" s="1090" t="str">
        <f>+E6&amp;" Stream Summary"</f>
        <v>GSR-H₂  Stream Summary</v>
      </c>
      <c r="AF3" s="1090"/>
      <c r="AG3" s="1090"/>
      <c r="AH3" s="1090"/>
      <c r="AI3" s="1090"/>
      <c r="AJ3" s="1090"/>
      <c r="AK3" s="1090"/>
      <c r="AL3" s="1090"/>
      <c r="AM3" s="1090"/>
      <c r="AN3" s="1090"/>
      <c r="AO3" s="1090"/>
      <c r="AP3" s="1090"/>
      <c r="AQ3" s="699"/>
      <c r="AR3" s="699"/>
    </row>
    <row r="4" spans="1:71"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71" ht="22.2" customHeight="1" x14ac:dyDescent="0.3">
      <c r="A5" s="83"/>
      <c r="B5" s="104"/>
      <c r="C5" s="105"/>
      <c r="D5" s="1118" t="s">
        <v>593</v>
      </c>
      <c r="E5" s="1118"/>
      <c r="F5" s="105"/>
      <c r="G5" s="92"/>
      <c r="H5" s="92"/>
      <c r="I5" s="1116" t="s">
        <v>267</v>
      </c>
      <c r="J5" s="1117"/>
      <c r="K5" s="105"/>
      <c r="L5" s="106"/>
      <c r="M5" s="105"/>
      <c r="N5" s="120"/>
      <c r="O5" s="112"/>
      <c r="P5" s="112"/>
      <c r="Q5" s="112"/>
      <c r="R5" s="112"/>
      <c r="S5" s="112"/>
      <c r="T5" s="112"/>
      <c r="U5" s="112"/>
      <c r="V5" s="112"/>
      <c r="W5" s="112"/>
      <c r="X5" s="112"/>
      <c r="Y5" s="112"/>
      <c r="Z5" s="112"/>
      <c r="AA5" s="112"/>
      <c r="AB5" s="113"/>
      <c r="AC5" s="105"/>
      <c r="AD5" s="92"/>
      <c r="AE5" s="705"/>
      <c r="AF5" s="1099" t="s">
        <v>813</v>
      </c>
      <c r="AG5" s="1100"/>
      <c r="AH5" s="1101"/>
      <c r="AI5" s="1099" t="s">
        <v>925</v>
      </c>
      <c r="AJ5" s="1100"/>
      <c r="AK5" s="1100"/>
      <c r="AL5" s="1100"/>
      <c r="AM5" s="1100"/>
      <c r="AN5" s="1100"/>
      <c r="AO5" s="1100"/>
      <c r="AP5" s="1101"/>
      <c r="AQ5" s="705"/>
      <c r="AR5" s="705"/>
    </row>
    <row r="6" spans="1:71" ht="22.2" customHeight="1" x14ac:dyDescent="0.3">
      <c r="A6" s="83"/>
      <c r="B6" s="104"/>
      <c r="C6" s="105"/>
      <c r="D6" s="547" t="s">
        <v>674</v>
      </c>
      <c r="E6" s="535" t="s">
        <v>1088</v>
      </c>
      <c r="F6" s="105"/>
      <c r="G6" s="92"/>
      <c r="H6" s="92"/>
      <c r="I6" s="85"/>
      <c r="J6" s="395" t="s">
        <v>262</v>
      </c>
      <c r="K6" s="105"/>
      <c r="L6" s="106"/>
      <c r="M6" s="105"/>
      <c r="N6" s="120"/>
      <c r="O6" s="112"/>
      <c r="P6" s="112"/>
      <c r="Q6" s="112"/>
      <c r="R6" s="112"/>
      <c r="S6" s="112"/>
      <c r="T6" s="112"/>
      <c r="U6" s="112"/>
      <c r="V6" s="112"/>
      <c r="W6" s="112"/>
      <c r="X6" s="112"/>
      <c r="Y6" s="112"/>
      <c r="Z6" s="112"/>
      <c r="AA6" s="112"/>
      <c r="AB6" s="113"/>
      <c r="AC6" s="105"/>
      <c r="AD6" s="105"/>
      <c r="AE6" s="702" t="s">
        <v>724</v>
      </c>
      <c r="AF6" s="701" t="s">
        <v>922</v>
      </c>
      <c r="AG6" s="876" t="s">
        <v>923</v>
      </c>
      <c r="AH6" s="876" t="s">
        <v>924</v>
      </c>
      <c r="AI6" s="703" t="s">
        <v>732</v>
      </c>
      <c r="AJ6" s="877" t="s">
        <v>926</v>
      </c>
      <c r="AK6" s="877" t="s">
        <v>927</v>
      </c>
      <c r="AL6" s="877" t="s">
        <v>928</v>
      </c>
      <c r="AM6" s="877" t="s">
        <v>929</v>
      </c>
      <c r="AN6" s="877" t="s">
        <v>930</v>
      </c>
      <c r="AO6" s="877" t="s">
        <v>364</v>
      </c>
      <c r="AP6" s="877" t="s">
        <v>931</v>
      </c>
      <c r="AQ6" s="105"/>
      <c r="AR6" s="83"/>
      <c r="AS6" s="83"/>
    </row>
    <row r="7" spans="1:71" ht="22.2" customHeight="1" x14ac:dyDescent="0.3">
      <c r="A7" s="83"/>
      <c r="B7" s="104"/>
      <c r="C7" s="105"/>
      <c r="D7" s="553" t="s">
        <v>476</v>
      </c>
      <c r="E7" s="583" t="s">
        <v>487</v>
      </c>
      <c r="F7" s="105"/>
      <c r="G7" s="92"/>
      <c r="H7" s="92"/>
      <c r="I7" s="96"/>
      <c r="J7" s="395" t="s">
        <v>263</v>
      </c>
      <c r="K7" s="105"/>
      <c r="L7" s="106"/>
      <c r="M7" s="105"/>
      <c r="N7" s="120"/>
      <c r="O7" s="112"/>
      <c r="P7" s="112"/>
      <c r="Q7" s="112"/>
      <c r="R7" s="112"/>
      <c r="S7" s="112"/>
      <c r="T7" s="112"/>
      <c r="U7" s="112"/>
      <c r="V7" s="112"/>
      <c r="W7" s="112"/>
      <c r="X7" s="112"/>
      <c r="Y7" s="112"/>
      <c r="Z7" s="112"/>
      <c r="AA7" s="112"/>
      <c r="AB7" s="113"/>
      <c r="AC7" s="105"/>
      <c r="AD7" s="105"/>
      <c r="AE7" s="704">
        <v>1</v>
      </c>
      <c r="AF7" s="882">
        <v>2.774</v>
      </c>
      <c r="AG7" s="883">
        <v>33.75</v>
      </c>
      <c r="AH7" s="883">
        <v>25</v>
      </c>
      <c r="AI7" s="697"/>
      <c r="AJ7" s="875"/>
      <c r="AK7" s="875"/>
      <c r="AL7" s="875"/>
      <c r="AM7" s="875"/>
      <c r="AN7" s="875"/>
      <c r="AO7" s="875"/>
      <c r="AP7" s="875"/>
      <c r="AQ7" s="105"/>
      <c r="AR7" s="83"/>
      <c r="AS7" s="83"/>
    </row>
    <row r="8" spans="1:71" ht="22.2" customHeight="1" x14ac:dyDescent="0.3">
      <c r="A8" s="83"/>
      <c r="B8" s="104"/>
      <c r="C8" s="105"/>
      <c r="D8" s="553" t="s">
        <v>315</v>
      </c>
      <c r="E8" s="584">
        <v>2020</v>
      </c>
      <c r="F8" s="105"/>
      <c r="G8" s="92"/>
      <c r="H8" s="92"/>
      <c r="I8" s="95"/>
      <c r="J8" s="691" t="s">
        <v>264</v>
      </c>
      <c r="K8" s="105"/>
      <c r="L8" s="106"/>
      <c r="M8" s="105"/>
      <c r="N8" s="120"/>
      <c r="O8" s="112"/>
      <c r="P8" s="112"/>
      <c r="Q8" s="112"/>
      <c r="R8" s="112"/>
      <c r="S8" s="112"/>
      <c r="T8" s="112"/>
      <c r="U8" s="112"/>
      <c r="V8" s="112"/>
      <c r="W8" s="112"/>
      <c r="X8" s="112"/>
      <c r="Y8" s="112"/>
      <c r="Z8" s="112"/>
      <c r="AA8" s="112"/>
      <c r="AB8" s="113"/>
      <c r="AC8" s="105"/>
      <c r="AD8" s="105"/>
      <c r="AE8" s="697">
        <v>2</v>
      </c>
      <c r="AF8" s="882">
        <v>3.5274884809216198</v>
      </c>
      <c r="AG8" s="882">
        <v>1.01325</v>
      </c>
      <c r="AH8" s="882">
        <v>25</v>
      </c>
      <c r="AI8" s="879">
        <v>0</v>
      </c>
      <c r="AJ8" s="879">
        <v>0</v>
      </c>
      <c r="AK8" s="879">
        <v>0</v>
      </c>
      <c r="AL8" s="879">
        <v>0</v>
      </c>
      <c r="AM8" s="879">
        <v>100</v>
      </c>
      <c r="AN8" s="879">
        <v>0</v>
      </c>
      <c r="AO8" s="879">
        <v>0</v>
      </c>
      <c r="AP8" s="879">
        <v>0</v>
      </c>
      <c r="AQ8" s="698"/>
      <c r="AR8" s="698"/>
      <c r="AS8" s="698"/>
      <c r="AT8" s="698"/>
      <c r="AU8" s="698"/>
      <c r="AV8" s="105"/>
      <c r="AW8" s="698"/>
      <c r="AX8" s="698"/>
      <c r="AY8" s="698"/>
      <c r="AZ8" s="698"/>
      <c r="BA8" s="698"/>
      <c r="BB8" s="698"/>
      <c r="BC8" s="105"/>
      <c r="BD8" s="105"/>
      <c r="BE8" s="105"/>
      <c r="BF8" s="698"/>
      <c r="BG8" s="105"/>
      <c r="BH8" s="105"/>
      <c r="BI8" s="698"/>
      <c r="BJ8" s="105"/>
      <c r="BK8" s="105"/>
      <c r="BL8" s="105"/>
      <c r="BM8" s="105"/>
      <c r="BN8" s="105"/>
      <c r="BO8" s="105"/>
      <c r="BP8" s="83"/>
      <c r="BQ8" s="83"/>
    </row>
    <row r="9" spans="1:71" ht="22.2" customHeight="1" x14ac:dyDescent="0.3">
      <c r="A9" s="83"/>
      <c r="B9" s="104"/>
      <c r="C9" s="105"/>
      <c r="D9" s="553" t="s">
        <v>572</v>
      </c>
      <c r="E9" s="585" t="s">
        <v>455</v>
      </c>
      <c r="F9" s="105"/>
      <c r="G9" s="92"/>
      <c r="H9" s="92"/>
      <c r="I9" s="110"/>
      <c r="J9" s="695" t="s">
        <v>268</v>
      </c>
      <c r="K9" s="105"/>
      <c r="L9" s="106"/>
      <c r="M9" s="105"/>
      <c r="N9" s="120"/>
      <c r="O9" s="112"/>
      <c r="P9" s="112"/>
      <c r="Q9" s="112"/>
      <c r="R9" s="112"/>
      <c r="S9" s="112"/>
      <c r="T9" s="112"/>
      <c r="U9" s="112"/>
      <c r="V9" s="112"/>
      <c r="W9" s="112"/>
      <c r="X9" s="112"/>
      <c r="Y9" s="112"/>
      <c r="Z9" s="112"/>
      <c r="AA9" s="112"/>
      <c r="AB9" s="113"/>
      <c r="AC9" s="105"/>
      <c r="AD9" s="105"/>
      <c r="AE9" s="697">
        <v>3</v>
      </c>
      <c r="AF9" s="882">
        <v>8.7260000000000009</v>
      </c>
      <c r="AG9" s="882">
        <v>32.700000000000003</v>
      </c>
      <c r="AH9" s="882">
        <v>958</v>
      </c>
      <c r="AI9" s="879">
        <v>2.681E-2</v>
      </c>
      <c r="AJ9" s="879">
        <v>0</v>
      </c>
      <c r="AK9" s="879">
        <v>0</v>
      </c>
      <c r="AL9" s="879">
        <v>3.1777000000000002</v>
      </c>
      <c r="AM9" s="879">
        <v>59.451300000000003</v>
      </c>
      <c r="AN9" s="879">
        <v>4.1799999999999997E-2</v>
      </c>
      <c r="AO9" s="879">
        <v>7.6128999999999998</v>
      </c>
      <c r="AP9" s="879">
        <v>29.4482</v>
      </c>
      <c r="AQ9" s="698"/>
      <c r="AR9" s="698"/>
      <c r="AS9" s="698"/>
      <c r="AT9" s="698"/>
      <c r="AU9" s="698"/>
      <c r="AV9" s="105"/>
      <c r="AW9" s="105"/>
      <c r="AX9" s="698"/>
      <c r="AY9" s="698"/>
      <c r="AZ9" s="698"/>
      <c r="BA9" s="698"/>
      <c r="BB9" s="698"/>
      <c r="BC9" s="698"/>
      <c r="BD9" s="698"/>
      <c r="BE9" s="698"/>
      <c r="BF9" s="698"/>
      <c r="BG9" s="105"/>
      <c r="BH9" s="105"/>
      <c r="BI9" s="698"/>
      <c r="BJ9" s="105"/>
      <c r="BK9" s="698"/>
      <c r="BL9" s="105"/>
      <c r="BM9" s="699"/>
      <c r="BN9" s="105"/>
      <c r="BO9" s="105"/>
      <c r="BP9" s="105"/>
      <c r="BQ9" s="105"/>
      <c r="BR9" s="83"/>
      <c r="BS9" s="83"/>
    </row>
    <row r="10" spans="1:71"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697">
        <v>4</v>
      </c>
      <c r="AF10" s="882">
        <v>9.3070000000000004</v>
      </c>
      <c r="AG10" s="884">
        <v>32.200000000000003</v>
      </c>
      <c r="AH10" s="884">
        <v>1025</v>
      </c>
      <c r="AI10" s="879">
        <v>0.83899999999999997</v>
      </c>
      <c r="AJ10" s="880">
        <v>0</v>
      </c>
      <c r="AK10" s="880">
        <v>7.9000000000000008E-3</v>
      </c>
      <c r="AL10" s="880">
        <v>7.2422000000000004</v>
      </c>
      <c r="AM10" s="880">
        <v>19.623799999999999</v>
      </c>
      <c r="AN10" s="880">
        <v>12.459</v>
      </c>
      <c r="AO10" s="880">
        <v>58.096499999999999</v>
      </c>
      <c r="AP10" s="880">
        <v>1.7315</v>
      </c>
      <c r="AQ10" s="698"/>
      <c r="AR10" s="698"/>
      <c r="AS10" s="83"/>
      <c r="AT10" s="698"/>
      <c r="AU10" s="698"/>
      <c r="AV10" s="105"/>
      <c r="AW10" s="105"/>
      <c r="AX10" s="698"/>
      <c r="AY10" s="698"/>
      <c r="AZ10" s="698"/>
      <c r="BA10" s="698"/>
      <c r="BB10" s="698"/>
      <c r="BC10" s="105"/>
      <c r="BD10" s="105"/>
      <c r="BE10" s="699"/>
      <c r="BF10" s="698"/>
      <c r="BG10" s="698"/>
      <c r="BH10" s="698"/>
      <c r="BI10" s="698"/>
      <c r="BJ10" s="698"/>
      <c r="BK10" s="105"/>
      <c r="BL10" s="105"/>
      <c r="BM10" s="83"/>
      <c r="BN10" s="83"/>
    </row>
    <row r="11" spans="1:71"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697">
        <v>5</v>
      </c>
      <c r="AF11" s="882">
        <v>9.3070000000000004</v>
      </c>
      <c r="AG11" s="882">
        <v>31.5</v>
      </c>
      <c r="AH11" s="882">
        <v>300</v>
      </c>
      <c r="AI11" s="879">
        <f>+AI10</f>
        <v>0.83899999999999997</v>
      </c>
      <c r="AJ11" s="879">
        <f t="shared" ref="AJ11:AP11" si="0">+AJ10</f>
        <v>0</v>
      </c>
      <c r="AK11" s="879">
        <f t="shared" si="0"/>
        <v>7.9000000000000008E-3</v>
      </c>
      <c r="AL11" s="879">
        <f t="shared" si="0"/>
        <v>7.2422000000000004</v>
      </c>
      <c r="AM11" s="879">
        <f t="shared" si="0"/>
        <v>19.623799999999999</v>
      </c>
      <c r="AN11" s="879">
        <f t="shared" si="0"/>
        <v>12.459</v>
      </c>
      <c r="AO11" s="879">
        <f t="shared" si="0"/>
        <v>58.096499999999999</v>
      </c>
      <c r="AP11" s="879">
        <f t="shared" si="0"/>
        <v>1.7315</v>
      </c>
      <c r="AQ11" s="698"/>
      <c r="AR11" s="698"/>
      <c r="AS11" s="698"/>
      <c r="AT11" s="105"/>
      <c r="AU11" s="105"/>
      <c r="AV11" s="698"/>
      <c r="AW11" s="699"/>
      <c r="AX11" s="698"/>
      <c r="AY11" s="699"/>
      <c r="AZ11" s="698"/>
      <c r="BA11" s="699"/>
      <c r="BB11" s="105"/>
      <c r="BC11" s="105"/>
      <c r="BD11" s="83"/>
      <c r="BE11" s="83"/>
    </row>
    <row r="12" spans="1:71" ht="22.2" customHeight="1" x14ac:dyDescent="0.3">
      <c r="A12" s="83"/>
      <c r="B12" s="104"/>
      <c r="C12" s="1096" t="str">
        <f>+E6&amp;": Mass &amp; Energy Balance"</f>
        <v>GSR-H₂ : Mass &amp; Energy Balance</v>
      </c>
      <c r="D12" s="1097"/>
      <c r="E12" s="1097"/>
      <c r="F12" s="1097"/>
      <c r="G12" s="1097"/>
      <c r="H12" s="1097"/>
      <c r="I12" s="1097"/>
      <c r="J12" s="1097"/>
      <c r="K12" s="1098"/>
      <c r="L12" s="106"/>
      <c r="M12" s="105"/>
      <c r="N12" s="120"/>
      <c r="O12" s="112"/>
      <c r="P12" s="112"/>
      <c r="Q12" s="112"/>
      <c r="R12" s="112"/>
      <c r="S12" s="112"/>
      <c r="T12" s="112"/>
      <c r="U12" s="112"/>
      <c r="V12" s="112"/>
      <c r="W12" s="112"/>
      <c r="X12" s="112"/>
      <c r="Y12" s="112"/>
      <c r="Z12" s="112"/>
      <c r="AA12" s="112"/>
      <c r="AB12" s="113"/>
      <c r="AC12" s="105"/>
      <c r="AD12" s="105"/>
      <c r="AE12" s="697">
        <v>6</v>
      </c>
      <c r="AF12" s="882">
        <v>9.3070000000000004</v>
      </c>
      <c r="AG12" s="882">
        <v>30.5</v>
      </c>
      <c r="AH12" s="882">
        <v>25</v>
      </c>
      <c r="AI12" s="879">
        <v>0.83899999999999997</v>
      </c>
      <c r="AJ12" s="879">
        <v>0</v>
      </c>
      <c r="AK12" s="879">
        <v>7.9000000000000008E-3</v>
      </c>
      <c r="AL12" s="879">
        <v>17.3611</v>
      </c>
      <c r="AM12" s="879">
        <v>9.5050000000000008</v>
      </c>
      <c r="AN12" s="879">
        <v>23.402000000000001</v>
      </c>
      <c r="AO12" s="879">
        <v>68.215400000000002</v>
      </c>
      <c r="AP12" s="879">
        <v>1.7315</v>
      </c>
      <c r="AQ12" s="698"/>
      <c r="AR12" s="698"/>
      <c r="AS12" s="698"/>
      <c r="AT12" s="105"/>
      <c r="AU12" s="105"/>
      <c r="AV12" s="83"/>
      <c r="AW12" s="83"/>
    </row>
    <row r="13" spans="1:71" ht="22.2" customHeight="1" x14ac:dyDescent="0.3">
      <c r="A13" s="83"/>
      <c r="B13" s="104"/>
      <c r="C13" s="149"/>
      <c r="D13" s="155"/>
      <c r="E13" s="155"/>
      <c r="F13" s="155"/>
      <c r="G13" s="155"/>
      <c r="H13" s="155"/>
      <c r="I13" s="155"/>
      <c r="J13" s="155"/>
      <c r="K13" s="156"/>
      <c r="L13" s="106"/>
      <c r="M13" s="105"/>
      <c r="N13" s="120"/>
      <c r="O13" s="112"/>
      <c r="P13" s="112"/>
      <c r="Q13" s="112"/>
      <c r="R13" s="112"/>
      <c r="S13" s="112"/>
      <c r="T13" s="112"/>
      <c r="U13" s="112"/>
      <c r="V13" s="112"/>
      <c r="W13" s="112"/>
      <c r="X13" s="112"/>
      <c r="Y13" s="112"/>
      <c r="Z13" s="112"/>
      <c r="AA13" s="112"/>
      <c r="AB13" s="113"/>
      <c r="AC13" s="105"/>
      <c r="AD13" s="105"/>
      <c r="AE13" s="697">
        <v>7</v>
      </c>
      <c r="AF13" s="882">
        <v>7.976</v>
      </c>
      <c r="AG13" s="882">
        <v>30.5</v>
      </c>
      <c r="AH13" s="882">
        <v>25</v>
      </c>
      <c r="AI13" s="879">
        <v>0.92620000000000002</v>
      </c>
      <c r="AJ13" s="879">
        <v>0</v>
      </c>
      <c r="AK13" s="879">
        <v>8.8000000000000005E-3</v>
      </c>
      <c r="AL13" s="879">
        <v>19.138400000000001</v>
      </c>
      <c r="AM13" s="879">
        <v>0.129</v>
      </c>
      <c r="AN13" s="879">
        <v>2.5832999999999999</v>
      </c>
      <c r="AO13" s="879">
        <v>75.302999999999997</v>
      </c>
      <c r="AP13" s="879">
        <v>1.9114</v>
      </c>
      <c r="AQ13" s="698"/>
      <c r="AR13" s="698"/>
      <c r="AS13" s="698"/>
      <c r="AT13" s="105"/>
      <c r="AU13" s="105"/>
      <c r="AV13" s="83"/>
      <c r="AW13" s="83"/>
    </row>
    <row r="14" spans="1:71" ht="22.2" customHeight="1" x14ac:dyDescent="0.3">
      <c r="A14" s="83"/>
      <c r="B14" s="104"/>
      <c r="C14" s="116"/>
      <c r="D14" s="712" t="s">
        <v>728</v>
      </c>
      <c r="E14" s="87" t="s">
        <v>733</v>
      </c>
      <c r="F14" s="474"/>
      <c r="G14" s="105"/>
      <c r="H14" s="87" t="s">
        <v>755</v>
      </c>
      <c r="I14" s="713" t="s">
        <v>456</v>
      </c>
      <c r="J14" s="474"/>
      <c r="K14" s="152"/>
      <c r="L14" s="106"/>
      <c r="M14" s="105"/>
      <c r="N14" s="120"/>
      <c r="O14" s="112"/>
      <c r="P14" s="112"/>
      <c r="Q14" s="112"/>
      <c r="R14" s="112"/>
      <c r="S14" s="112"/>
      <c r="T14" s="112"/>
      <c r="U14" s="112"/>
      <c r="V14" s="112"/>
      <c r="W14" s="112"/>
      <c r="X14" s="112"/>
      <c r="Y14" s="112"/>
      <c r="Z14" s="112"/>
      <c r="AA14" s="112"/>
      <c r="AB14" s="113"/>
      <c r="AC14" s="105"/>
      <c r="AD14" s="105"/>
      <c r="AE14" s="697">
        <v>8</v>
      </c>
      <c r="AF14" s="882">
        <v>0.95420000000000005</v>
      </c>
      <c r="AG14" s="882">
        <v>60</v>
      </c>
      <c r="AH14" s="882">
        <v>25</v>
      </c>
      <c r="AI14" s="879">
        <v>0</v>
      </c>
      <c r="AJ14" s="879">
        <v>0</v>
      </c>
      <c r="AK14" s="879">
        <v>0</v>
      </c>
      <c r="AL14" s="879">
        <v>0</v>
      </c>
      <c r="AM14" s="879">
        <v>0</v>
      </c>
      <c r="AN14" s="879">
        <v>0</v>
      </c>
      <c r="AO14" s="879">
        <v>100</v>
      </c>
      <c r="AP14" s="879">
        <v>0</v>
      </c>
    </row>
    <row r="15" spans="1:71" ht="22.2" customHeight="1" x14ac:dyDescent="0.3">
      <c r="A15" s="83"/>
      <c r="B15" s="104"/>
      <c r="C15" s="116"/>
      <c r="D15" s="982" t="s">
        <v>730</v>
      </c>
      <c r="E15" s="754">
        <v>6.4347023093290403</v>
      </c>
      <c r="F15" s="478"/>
      <c r="G15" s="105"/>
      <c r="H15" s="987" t="s">
        <v>1072</v>
      </c>
      <c r="I15" s="767">
        <v>0.77775532691571203</v>
      </c>
      <c r="J15" s="470"/>
      <c r="K15" s="152"/>
      <c r="L15" s="106"/>
      <c r="M15" s="105"/>
      <c r="N15" s="120"/>
      <c r="O15" s="112"/>
      <c r="P15" s="112"/>
      <c r="Q15" s="112"/>
      <c r="R15" s="112"/>
      <c r="S15" s="112"/>
      <c r="T15" s="112"/>
      <c r="U15" s="112"/>
      <c r="V15" s="112"/>
      <c r="W15" s="112"/>
      <c r="X15" s="112"/>
      <c r="Y15" s="112"/>
      <c r="Z15" s="112"/>
      <c r="AA15" s="112"/>
      <c r="AB15" s="113"/>
      <c r="AC15" s="105"/>
      <c r="AD15" s="105"/>
      <c r="AE15" s="697">
        <v>9</v>
      </c>
      <c r="AF15" s="882">
        <v>7.0220000000000002</v>
      </c>
      <c r="AG15" s="882">
        <v>32.799999999999997</v>
      </c>
      <c r="AH15" s="882">
        <v>485.5</v>
      </c>
      <c r="AI15" s="879">
        <v>2.7898999999999998</v>
      </c>
      <c r="AJ15" s="879">
        <v>0</v>
      </c>
      <c r="AK15" s="879">
        <v>2.64E-2</v>
      </c>
      <c r="AL15" s="879">
        <v>57.650799999999997</v>
      </c>
      <c r="AM15" s="879">
        <v>0.38869999999999999</v>
      </c>
      <c r="AN15" s="879">
        <v>7.7816999999999998</v>
      </c>
      <c r="AO15" s="879">
        <v>25.604900000000001</v>
      </c>
      <c r="AP15" s="879">
        <v>5.7576000000000001</v>
      </c>
    </row>
    <row r="16" spans="1:71" ht="22.2" customHeight="1" x14ac:dyDescent="0.3">
      <c r="A16" s="83"/>
      <c r="B16" s="104"/>
      <c r="C16" s="116"/>
      <c r="D16" s="982" t="s">
        <v>1067</v>
      </c>
      <c r="E16" s="755">
        <v>1.153</v>
      </c>
      <c r="F16" s="478"/>
      <c r="G16" s="105"/>
      <c r="H16" s="987" t="s">
        <v>1073</v>
      </c>
      <c r="I16" s="767">
        <v>0.81472754711554596</v>
      </c>
      <c r="J16" s="470"/>
      <c r="K16" s="152"/>
      <c r="L16" s="106"/>
      <c r="M16" s="105"/>
      <c r="N16" s="120"/>
      <c r="O16" s="112"/>
      <c r="P16" s="112"/>
      <c r="Q16" s="112"/>
      <c r="R16" s="112"/>
      <c r="S16" s="112"/>
      <c r="T16" s="112"/>
      <c r="U16" s="112"/>
      <c r="V16" s="112"/>
      <c r="W16" s="112"/>
      <c r="X16" s="112"/>
      <c r="Y16" s="112"/>
      <c r="Z16" s="112"/>
      <c r="AA16" s="112"/>
      <c r="AB16" s="113"/>
      <c r="AC16" s="105"/>
      <c r="AD16" s="105"/>
      <c r="AE16" s="697">
        <v>10</v>
      </c>
      <c r="AF16" s="882">
        <v>7.0220000000000002</v>
      </c>
      <c r="AG16" s="882">
        <v>32.700000000000003</v>
      </c>
      <c r="AH16" s="882">
        <v>1000</v>
      </c>
      <c r="AI16" s="879">
        <f>+AI15</f>
        <v>2.7898999999999998</v>
      </c>
      <c r="AJ16" s="879">
        <f t="shared" ref="AJ16:AP16" si="1">+AJ15</f>
        <v>0</v>
      </c>
      <c r="AK16" s="879">
        <f t="shared" si="1"/>
        <v>2.64E-2</v>
      </c>
      <c r="AL16" s="879">
        <f t="shared" si="1"/>
        <v>57.650799999999997</v>
      </c>
      <c r="AM16" s="879">
        <f t="shared" si="1"/>
        <v>0.38869999999999999</v>
      </c>
      <c r="AN16" s="879">
        <f t="shared" si="1"/>
        <v>7.7816999999999998</v>
      </c>
      <c r="AO16" s="879">
        <f t="shared" si="1"/>
        <v>25.604900000000001</v>
      </c>
      <c r="AP16" s="879">
        <f t="shared" si="1"/>
        <v>5.7576000000000001</v>
      </c>
    </row>
    <row r="17" spans="1:49" ht="22.2" customHeight="1" x14ac:dyDescent="0.3">
      <c r="A17" s="83"/>
      <c r="B17" s="104"/>
      <c r="C17" s="116"/>
      <c r="D17" s="982" t="s">
        <v>729</v>
      </c>
      <c r="E17" s="755">
        <v>4.2395093680494798</v>
      </c>
      <c r="F17" s="478"/>
      <c r="G17" s="105"/>
      <c r="H17" s="988" t="s">
        <v>1074</v>
      </c>
      <c r="I17" s="768">
        <v>0.78826091000265897</v>
      </c>
      <c r="J17" s="470"/>
      <c r="K17" s="152"/>
      <c r="L17" s="106"/>
      <c r="M17" s="105"/>
      <c r="N17" s="120"/>
      <c r="O17" s="112"/>
      <c r="P17" s="112"/>
      <c r="Q17" s="112"/>
      <c r="R17" s="112"/>
      <c r="S17" s="112"/>
      <c r="T17" s="112"/>
      <c r="U17" s="112"/>
      <c r="V17" s="112"/>
      <c r="W17" s="112"/>
      <c r="X17" s="112"/>
      <c r="Y17" s="112"/>
      <c r="Z17" s="112"/>
      <c r="AA17" s="112"/>
      <c r="AB17" s="113"/>
      <c r="AC17" s="105"/>
      <c r="AD17" s="105"/>
      <c r="AE17" s="697">
        <v>11</v>
      </c>
      <c r="AF17" s="882">
        <v>8.9649999999999999</v>
      </c>
      <c r="AG17" s="882">
        <v>32.200000000000003</v>
      </c>
      <c r="AH17" s="882">
        <v>1097</v>
      </c>
      <c r="AI17" s="879">
        <v>4.1463999999999999</v>
      </c>
      <c r="AJ17" s="879">
        <v>0</v>
      </c>
      <c r="AK17" s="879">
        <v>4.3499999999999997E-2</v>
      </c>
      <c r="AL17" s="879">
        <v>61.624499999999998</v>
      </c>
      <c r="AM17" s="879">
        <v>34.160400000000003</v>
      </c>
      <c r="AN17" s="879">
        <v>2.52E-2</v>
      </c>
      <c r="AO17" s="879">
        <v>0</v>
      </c>
      <c r="AP17" s="879">
        <v>0</v>
      </c>
    </row>
    <row r="18" spans="1:49" ht="22.2" customHeight="1" x14ac:dyDescent="0.3">
      <c r="A18" s="83"/>
      <c r="B18" s="104"/>
      <c r="C18" s="116"/>
      <c r="D18" s="982" t="s">
        <v>1049</v>
      </c>
      <c r="E18" s="755">
        <v>0.56958722969886699</v>
      </c>
      <c r="F18" s="478"/>
      <c r="G18" s="105"/>
      <c r="H18" s="470"/>
      <c r="I18" s="176"/>
      <c r="J18" s="470"/>
      <c r="K18" s="152"/>
      <c r="L18" s="106"/>
      <c r="M18" s="105"/>
      <c r="N18" s="120"/>
      <c r="O18" s="112"/>
      <c r="P18" s="112"/>
      <c r="Q18" s="112"/>
      <c r="R18" s="112"/>
      <c r="S18" s="112"/>
      <c r="T18" s="112"/>
      <c r="U18" s="112"/>
      <c r="V18" s="112"/>
      <c r="W18" s="112"/>
      <c r="X18" s="112"/>
      <c r="Y18" s="112"/>
      <c r="Z18" s="112"/>
      <c r="AA18" s="112"/>
      <c r="AB18" s="113"/>
      <c r="AC18" s="105"/>
      <c r="AD18" s="105"/>
      <c r="AE18" s="697">
        <v>12</v>
      </c>
      <c r="AF18" s="882">
        <v>8.9649999999999999</v>
      </c>
      <c r="AG18" s="882">
        <v>31.7</v>
      </c>
      <c r="AH18" s="882">
        <v>60.55</v>
      </c>
      <c r="AI18" s="879">
        <v>4.1463999999999999</v>
      </c>
      <c r="AJ18" s="879">
        <v>0</v>
      </c>
      <c r="AK18" s="879">
        <v>4.3499999999999997E-2</v>
      </c>
      <c r="AL18" s="879">
        <v>61.624499999999998</v>
      </c>
      <c r="AM18" s="879">
        <v>34.160400000000003</v>
      </c>
      <c r="AN18" s="879">
        <v>2.5200000000000001E-3</v>
      </c>
      <c r="AO18" s="879">
        <v>0</v>
      </c>
      <c r="AP18" s="879">
        <v>0</v>
      </c>
    </row>
    <row r="19" spans="1:49" ht="22.2" customHeight="1" x14ac:dyDescent="0.3">
      <c r="A19" s="83"/>
      <c r="B19" s="104"/>
      <c r="C19" s="116"/>
      <c r="D19" s="982" t="s">
        <v>1068</v>
      </c>
      <c r="E19" s="755">
        <v>9.6509999999999999E-2</v>
      </c>
      <c r="F19" s="478"/>
      <c r="G19" s="105"/>
      <c r="H19" s="685" t="s">
        <v>759</v>
      </c>
      <c r="I19" s="766" t="s">
        <v>456</v>
      </c>
      <c r="J19" s="470"/>
      <c r="K19" s="152"/>
      <c r="L19" s="106"/>
      <c r="M19" s="105"/>
      <c r="N19" s="120"/>
      <c r="O19" s="112"/>
      <c r="P19" s="112"/>
      <c r="Q19" s="112"/>
      <c r="R19" s="112"/>
      <c r="S19" s="112"/>
      <c r="T19" s="112"/>
      <c r="U19" s="112"/>
      <c r="V19" s="112"/>
      <c r="W19" s="112"/>
      <c r="X19" s="112"/>
      <c r="Y19" s="112"/>
      <c r="Z19" s="112"/>
      <c r="AA19" s="112"/>
      <c r="AB19" s="113"/>
      <c r="AC19" s="105"/>
      <c r="AD19" s="105"/>
      <c r="AE19" s="697">
        <v>13</v>
      </c>
      <c r="AF19" s="882">
        <v>7.3109999999999999</v>
      </c>
      <c r="AG19" s="882">
        <v>31.5</v>
      </c>
      <c r="AH19" s="882">
        <v>25</v>
      </c>
      <c r="AI19" s="879">
        <v>6.3415999999999997</v>
      </c>
      <c r="AJ19" s="879">
        <v>0</v>
      </c>
      <c r="AK19" s="879">
        <v>6.6600000000000006E-2</v>
      </c>
      <c r="AL19" s="879">
        <v>93.591700000000003</v>
      </c>
      <c r="AM19" s="879">
        <v>0</v>
      </c>
      <c r="AN19" s="879">
        <v>0</v>
      </c>
      <c r="AO19" s="879">
        <v>0</v>
      </c>
      <c r="AP19" s="879">
        <v>0</v>
      </c>
      <c r="AQ19" s="698"/>
      <c r="AR19" s="698"/>
      <c r="AS19" s="698"/>
      <c r="AT19" s="105"/>
      <c r="AU19" s="105"/>
      <c r="AV19" s="83"/>
      <c r="AW19" s="83"/>
    </row>
    <row r="20" spans="1:49" ht="22.2" customHeight="1" x14ac:dyDescent="0.3">
      <c r="A20" s="83"/>
      <c r="B20" s="104"/>
      <c r="C20" s="116"/>
      <c r="D20" s="982" t="s">
        <v>1069</v>
      </c>
      <c r="E20" s="170">
        <v>2.6270000000000002E-2</v>
      </c>
      <c r="F20" s="478"/>
      <c r="G20" s="105"/>
      <c r="H20" s="987" t="s">
        <v>760</v>
      </c>
      <c r="I20" s="762">
        <v>0.621</v>
      </c>
      <c r="J20" s="470"/>
      <c r="K20" s="152"/>
      <c r="L20" s="106"/>
      <c r="M20" s="105"/>
      <c r="N20" s="120"/>
      <c r="O20" s="112"/>
      <c r="P20" s="112"/>
      <c r="Q20" s="112"/>
      <c r="R20" s="112"/>
      <c r="S20" s="112"/>
      <c r="T20" s="112"/>
      <c r="U20" s="112"/>
      <c r="V20" s="112"/>
      <c r="W20" s="112"/>
      <c r="X20" s="112"/>
      <c r="Y20" s="112"/>
      <c r="Z20" s="112"/>
      <c r="AA20" s="112"/>
      <c r="AB20" s="113"/>
      <c r="AC20" s="105"/>
      <c r="AD20" s="105"/>
      <c r="AE20" s="697">
        <v>14</v>
      </c>
      <c r="AF20" s="882">
        <v>0.12740000000000001</v>
      </c>
      <c r="AG20" s="882">
        <v>7.391</v>
      </c>
      <c r="AH20" s="882">
        <v>10.51</v>
      </c>
      <c r="AI20" s="879">
        <v>4.1578999999999997</v>
      </c>
      <c r="AJ20" s="879">
        <v>0</v>
      </c>
      <c r="AK20" s="879">
        <v>6.3200000000000006E-2</v>
      </c>
      <c r="AL20" s="879">
        <v>95.778899999999993</v>
      </c>
      <c r="AM20" s="879">
        <v>0</v>
      </c>
      <c r="AN20" s="879">
        <v>0</v>
      </c>
      <c r="AO20" s="879">
        <v>0</v>
      </c>
      <c r="AP20" s="879">
        <v>0</v>
      </c>
      <c r="AQ20" s="698"/>
      <c r="AR20" s="698"/>
      <c r="AS20" s="698"/>
      <c r="AT20" s="105"/>
      <c r="AU20" s="105"/>
      <c r="AV20" s="83"/>
      <c r="AW20" s="83"/>
    </row>
    <row r="21" spans="1:49" ht="22.2" customHeight="1" x14ac:dyDescent="0.3">
      <c r="A21" s="83"/>
      <c r="B21" s="104"/>
      <c r="C21" s="116"/>
      <c r="D21" s="982" t="s">
        <v>1070</v>
      </c>
      <c r="E21" s="755">
        <v>7.51335346342238</v>
      </c>
      <c r="F21" s="478"/>
      <c r="G21" s="105"/>
      <c r="H21" s="988" t="s">
        <v>761</v>
      </c>
      <c r="I21" s="761">
        <v>0.9</v>
      </c>
      <c r="J21" s="470"/>
      <c r="K21" s="152"/>
      <c r="L21" s="106"/>
      <c r="M21" s="105"/>
      <c r="N21" s="120"/>
      <c r="O21" s="112"/>
      <c r="P21" s="112"/>
      <c r="Q21" s="112"/>
      <c r="R21" s="112"/>
      <c r="S21" s="112"/>
      <c r="T21" s="112"/>
      <c r="U21" s="112"/>
      <c r="V21" s="112"/>
      <c r="W21" s="112"/>
      <c r="X21" s="112"/>
      <c r="Y21" s="112"/>
      <c r="Z21" s="112"/>
      <c r="AA21" s="112"/>
      <c r="AB21" s="113"/>
      <c r="AC21" s="105"/>
      <c r="AD21" s="105"/>
      <c r="AE21" s="697">
        <v>15</v>
      </c>
      <c r="AF21" s="882">
        <v>6.9580000000000002</v>
      </c>
      <c r="AG21" s="882">
        <v>23.48</v>
      </c>
      <c r="AH21" s="882">
        <v>10.5</v>
      </c>
      <c r="AI21" s="879">
        <v>3.3540000000000001</v>
      </c>
      <c r="AJ21" s="879">
        <v>0</v>
      </c>
      <c r="AK21" s="879">
        <v>4.6300000000000001E-2</v>
      </c>
      <c r="AL21" s="879">
        <v>96.599699999999999</v>
      </c>
      <c r="AM21" s="879">
        <v>0</v>
      </c>
      <c r="AN21" s="879">
        <v>0</v>
      </c>
      <c r="AO21" s="879">
        <v>0</v>
      </c>
      <c r="AP21" s="879">
        <v>0</v>
      </c>
      <c r="AQ21" s="698"/>
      <c r="AR21" s="698"/>
      <c r="AS21" s="698"/>
      <c r="AT21" s="105"/>
      <c r="AU21" s="105"/>
      <c r="AV21" s="83"/>
      <c r="AW21" s="83"/>
    </row>
    <row r="22" spans="1:49" ht="22.2" customHeight="1" x14ac:dyDescent="0.3">
      <c r="A22" s="83"/>
      <c r="B22" s="104"/>
      <c r="C22" s="116"/>
      <c r="D22" s="981" t="s">
        <v>731</v>
      </c>
      <c r="E22" s="756">
        <v>1.702</v>
      </c>
      <c r="F22" s="478"/>
      <c r="G22" s="105"/>
      <c r="H22" s="470"/>
      <c r="I22" s="176"/>
      <c r="J22" s="470"/>
      <c r="K22" s="152"/>
      <c r="L22" s="106"/>
      <c r="M22" s="105"/>
      <c r="N22" s="120"/>
      <c r="O22" s="112"/>
      <c r="P22" s="112"/>
      <c r="Q22" s="112"/>
      <c r="R22" s="112"/>
      <c r="S22" s="112"/>
      <c r="T22" s="112"/>
      <c r="U22" s="112"/>
      <c r="V22" s="112"/>
      <c r="W22" s="112"/>
      <c r="X22" s="112"/>
      <c r="Y22" s="112"/>
      <c r="Z22" s="112"/>
      <c r="AA22" s="112"/>
      <c r="AB22" s="113"/>
      <c r="AC22" s="105"/>
      <c r="AD22" s="105"/>
      <c r="AE22" s="697">
        <v>16</v>
      </c>
      <c r="AF22" s="882">
        <v>7.085</v>
      </c>
      <c r="AG22" s="882">
        <v>150</v>
      </c>
      <c r="AH22" s="882">
        <v>25</v>
      </c>
      <c r="AI22" s="879">
        <v>3.3685</v>
      </c>
      <c r="AJ22" s="879">
        <v>0</v>
      </c>
      <c r="AK22" s="879">
        <v>4.6600000000000003E-2</v>
      </c>
      <c r="AL22" s="879">
        <v>96.584900000000005</v>
      </c>
      <c r="AM22" s="879">
        <v>0</v>
      </c>
      <c r="AN22" s="879">
        <v>0</v>
      </c>
      <c r="AO22" s="879">
        <v>0</v>
      </c>
      <c r="AP22" s="879">
        <v>0</v>
      </c>
      <c r="AQ22" s="698"/>
      <c r="AR22" s="698"/>
      <c r="AS22" s="698"/>
      <c r="AT22" s="105"/>
      <c r="AU22" s="105"/>
      <c r="AV22" s="83"/>
      <c r="AW22" s="83"/>
    </row>
    <row r="23" spans="1:49" ht="22.2" customHeight="1" x14ac:dyDescent="0.3">
      <c r="A23" s="83"/>
      <c r="B23" s="104"/>
      <c r="C23" s="150"/>
      <c r="D23" s="983" t="s">
        <v>750</v>
      </c>
      <c r="E23" s="756">
        <f>+E21-SUM(E15:E20)</f>
        <v>-5.0062254436550084</v>
      </c>
      <c r="F23" s="478"/>
      <c r="G23" s="696"/>
      <c r="H23" s="685" t="s">
        <v>764</v>
      </c>
      <c r="I23" s="774" t="s">
        <v>733</v>
      </c>
      <c r="J23" s="470"/>
      <c r="K23" s="152"/>
      <c r="L23" s="106"/>
      <c r="M23" s="105"/>
      <c r="N23" s="120"/>
      <c r="O23" s="112"/>
      <c r="P23" s="112"/>
      <c r="Q23" s="112"/>
      <c r="R23" s="112"/>
      <c r="S23" s="112"/>
      <c r="T23" s="112"/>
      <c r="U23" s="112"/>
      <c r="V23" s="112"/>
      <c r="W23" s="112"/>
      <c r="X23" s="112"/>
      <c r="Y23" s="112"/>
      <c r="Z23" s="112"/>
      <c r="AA23" s="112"/>
      <c r="AB23" s="113"/>
      <c r="AC23" s="105"/>
      <c r="AD23" s="105"/>
      <c r="AE23" s="697">
        <v>17</v>
      </c>
      <c r="AF23" s="882">
        <v>0.22620000000000001</v>
      </c>
      <c r="AG23" s="882">
        <v>1.01325</v>
      </c>
      <c r="AH23" s="882">
        <v>21.89</v>
      </c>
      <c r="AI23" s="879">
        <v>74.901200000000003</v>
      </c>
      <c r="AJ23" s="879">
        <v>0</v>
      </c>
      <c r="AK23" s="879">
        <v>0.52829999999999999</v>
      </c>
      <c r="AL23" s="879">
        <v>24.570599999999999</v>
      </c>
      <c r="AM23" s="879">
        <v>0</v>
      </c>
      <c r="AN23" s="879">
        <v>0</v>
      </c>
      <c r="AO23" s="879">
        <v>0</v>
      </c>
      <c r="AP23" s="879">
        <v>0</v>
      </c>
      <c r="AQ23" s="698"/>
      <c r="AR23" s="698"/>
      <c r="AS23" s="698"/>
      <c r="AT23" s="105"/>
      <c r="AU23" s="105"/>
      <c r="AV23" s="83"/>
      <c r="AW23" s="83"/>
    </row>
    <row r="24" spans="1:49" ht="22.2" customHeight="1" x14ac:dyDescent="0.3">
      <c r="A24" s="83"/>
      <c r="B24" s="104"/>
      <c r="C24" s="150"/>
      <c r="D24" s="478"/>
      <c r="E24" s="173"/>
      <c r="F24" s="478"/>
      <c r="G24" s="696"/>
      <c r="H24" s="984" t="s">
        <v>763</v>
      </c>
      <c r="I24" s="760">
        <f>+E58*I58/1000</f>
        <v>128.99100000000001</v>
      </c>
      <c r="J24" s="475"/>
      <c r="K24" s="152"/>
      <c r="L24" s="106"/>
      <c r="M24" s="105"/>
      <c r="N24" s="120"/>
      <c r="O24" s="112"/>
      <c r="P24" s="112"/>
      <c r="Q24" s="112"/>
      <c r="R24" s="112"/>
      <c r="S24" s="112"/>
      <c r="T24" s="112"/>
      <c r="U24" s="112"/>
      <c r="V24" s="112"/>
      <c r="W24" s="112"/>
      <c r="X24" s="112"/>
      <c r="Y24" s="112"/>
      <c r="Z24" s="112"/>
      <c r="AA24" s="112"/>
      <c r="AB24" s="113"/>
      <c r="AC24" s="105"/>
      <c r="AD24" s="105"/>
      <c r="AE24" s="697">
        <v>18</v>
      </c>
      <c r="AF24" s="882">
        <v>11.69</v>
      </c>
      <c r="AG24" s="882">
        <v>1.01325</v>
      </c>
      <c r="AH24" s="882">
        <v>15</v>
      </c>
      <c r="AI24" s="879">
        <v>77.295299999999997</v>
      </c>
      <c r="AJ24" s="879">
        <v>20.734400000000001</v>
      </c>
      <c r="AK24" s="879">
        <v>0.92459999999999998</v>
      </c>
      <c r="AL24" s="879">
        <v>3.56E-2</v>
      </c>
      <c r="AM24" s="879">
        <v>1.01</v>
      </c>
      <c r="AN24" s="879">
        <v>0</v>
      </c>
      <c r="AO24" s="879">
        <v>0</v>
      </c>
      <c r="AP24" s="879">
        <v>0</v>
      </c>
      <c r="AQ24" s="698"/>
      <c r="AR24" s="698"/>
      <c r="AS24" s="105"/>
      <c r="AT24" s="105"/>
      <c r="AU24" s="83"/>
      <c r="AV24" s="83"/>
    </row>
    <row r="25" spans="1:49" ht="22.2" customHeight="1" x14ac:dyDescent="0.3">
      <c r="A25" s="83"/>
      <c r="B25" s="104"/>
      <c r="C25" s="150"/>
      <c r="D25" s="715" t="s">
        <v>762</v>
      </c>
      <c r="E25" s="773" t="s">
        <v>456</v>
      </c>
      <c r="F25" s="478"/>
      <c r="G25" s="696"/>
      <c r="H25" s="986" t="s">
        <v>1071</v>
      </c>
      <c r="I25" s="922">
        <f>+I32*I59/1000</f>
        <v>114.51681104063084</v>
      </c>
      <c r="J25" s="470"/>
      <c r="K25" s="152"/>
      <c r="L25" s="106"/>
      <c r="M25" s="105"/>
      <c r="N25" s="120"/>
      <c r="O25" s="112"/>
      <c r="P25" s="112"/>
      <c r="Q25" s="112"/>
      <c r="R25" s="112"/>
      <c r="S25" s="112"/>
      <c r="T25" s="112"/>
      <c r="U25" s="112"/>
      <c r="V25" s="112"/>
      <c r="W25" s="112"/>
      <c r="X25" s="112"/>
      <c r="Y25" s="112"/>
      <c r="Z25" s="112"/>
      <c r="AA25" s="112"/>
      <c r="AB25" s="113"/>
      <c r="AC25" s="105"/>
      <c r="AD25" s="105"/>
      <c r="AE25" s="697">
        <v>19</v>
      </c>
      <c r="AF25" s="882">
        <v>9.1609999999999996</v>
      </c>
      <c r="AG25" s="882">
        <v>32.200000000000003</v>
      </c>
      <c r="AH25" s="882">
        <v>1039</v>
      </c>
      <c r="AI25" s="879">
        <v>93.125</v>
      </c>
      <c r="AJ25" s="879">
        <v>0</v>
      </c>
      <c r="AK25" s="879">
        <v>1.1136999999999999</v>
      </c>
      <c r="AL25" s="879">
        <v>1.9967999999999999</v>
      </c>
      <c r="AM25" s="879">
        <v>3.7589000000000001</v>
      </c>
      <c r="AN25" s="879">
        <v>0</v>
      </c>
      <c r="AO25" s="879">
        <v>0</v>
      </c>
      <c r="AP25" s="879">
        <v>0</v>
      </c>
    </row>
    <row r="26" spans="1:49" ht="22.2" customHeight="1" x14ac:dyDescent="0.3">
      <c r="A26" s="83"/>
      <c r="B26" s="104"/>
      <c r="C26" s="150"/>
      <c r="D26" s="984" t="s">
        <v>1059</v>
      </c>
      <c r="E26" s="771">
        <f>+$I$32*$I$59/($I$58*E58)</f>
        <v>0.88778915614756715</v>
      </c>
      <c r="G26" s="696"/>
      <c r="H26" s="470"/>
      <c r="I26" s="200"/>
      <c r="J26" s="470"/>
      <c r="K26" s="152"/>
      <c r="L26" s="106"/>
      <c r="M26" s="105"/>
      <c r="N26" s="120"/>
      <c r="O26" s="112"/>
      <c r="P26" s="112"/>
      <c r="Q26" s="112"/>
      <c r="R26" s="112"/>
      <c r="S26" s="112"/>
      <c r="T26" s="112"/>
      <c r="U26" s="112"/>
      <c r="V26" s="112"/>
      <c r="W26" s="112"/>
      <c r="X26" s="112"/>
      <c r="Y26" s="112"/>
      <c r="Z26" s="112"/>
      <c r="AA26" s="112"/>
      <c r="AB26" s="113"/>
      <c r="AC26" s="105"/>
      <c r="AD26" s="105"/>
      <c r="AE26" s="697">
        <v>20</v>
      </c>
      <c r="AF26" s="882">
        <v>9.1609999999999996</v>
      </c>
      <c r="AG26" s="882">
        <v>1.01325</v>
      </c>
      <c r="AH26" s="882">
        <v>124.7</v>
      </c>
      <c r="AI26" s="879">
        <f>+AI25</f>
        <v>93.125</v>
      </c>
      <c r="AJ26" s="879">
        <f t="shared" ref="AJ26:AP26" si="2">+AJ25</f>
        <v>0</v>
      </c>
      <c r="AK26" s="879">
        <f t="shared" si="2"/>
        <v>1.1136999999999999</v>
      </c>
      <c r="AL26" s="879">
        <f t="shared" si="2"/>
        <v>1.9967999999999999</v>
      </c>
      <c r="AM26" s="879">
        <f t="shared" si="2"/>
        <v>3.7589000000000001</v>
      </c>
      <c r="AN26" s="879">
        <f t="shared" si="2"/>
        <v>0</v>
      </c>
      <c r="AO26" s="879">
        <f t="shared" si="2"/>
        <v>0</v>
      </c>
      <c r="AP26" s="879">
        <f t="shared" si="2"/>
        <v>0</v>
      </c>
    </row>
    <row r="27" spans="1:49" ht="22.2" customHeight="1" x14ac:dyDescent="0.3">
      <c r="A27" s="83"/>
      <c r="B27" s="104"/>
      <c r="C27" s="150"/>
      <c r="D27" s="985" t="s">
        <v>1060</v>
      </c>
      <c r="E27" s="772">
        <f>+$I$32*$I$59/($I$58*E59)</f>
        <v>0.84725945531566449</v>
      </c>
      <c r="F27" s="474"/>
      <c r="G27" s="696"/>
      <c r="H27" s="92"/>
      <c r="I27" s="92"/>
      <c r="J27" s="92"/>
      <c r="K27" s="152"/>
      <c r="L27" s="106"/>
      <c r="M27" s="105"/>
      <c r="N27" s="120"/>
      <c r="O27" s="112"/>
      <c r="P27" s="112"/>
      <c r="Q27" s="112"/>
      <c r="R27" s="112"/>
      <c r="S27" s="112"/>
      <c r="T27" s="112"/>
      <c r="U27" s="112"/>
      <c r="V27" s="112"/>
      <c r="W27" s="112"/>
      <c r="X27" s="112"/>
      <c r="Y27" s="112"/>
      <c r="Z27" s="112"/>
      <c r="AA27" s="112"/>
      <c r="AB27" s="113"/>
      <c r="AC27" s="105"/>
      <c r="AD27" s="105"/>
      <c r="AE27" s="697">
        <v>21</v>
      </c>
      <c r="AF27" s="882">
        <v>0.81620000000000004</v>
      </c>
      <c r="AG27" s="882">
        <v>6</v>
      </c>
      <c r="AH27" s="882">
        <v>160</v>
      </c>
      <c r="AI27" s="879">
        <v>0</v>
      </c>
      <c r="AJ27" s="879">
        <v>0</v>
      </c>
      <c r="AK27" s="879">
        <v>0</v>
      </c>
      <c r="AL27" s="879">
        <v>0</v>
      </c>
      <c r="AM27" s="879">
        <v>100</v>
      </c>
      <c r="AN27" s="879">
        <v>0</v>
      </c>
      <c r="AO27" s="879">
        <v>0</v>
      </c>
      <c r="AP27" s="879">
        <v>0</v>
      </c>
    </row>
    <row r="28" spans="1:49" ht="22.2" customHeight="1" x14ac:dyDescent="0.3">
      <c r="A28" s="83"/>
      <c r="B28" s="104"/>
      <c r="C28" s="150"/>
      <c r="D28" s="985" t="s">
        <v>1061</v>
      </c>
      <c r="E28" s="772">
        <f>+$I$32*$I$59/($I$58*E60)</f>
        <v>0.83556859866640198</v>
      </c>
      <c r="F28" s="478"/>
      <c r="G28" s="696"/>
      <c r="H28" s="92"/>
      <c r="I28" s="92"/>
      <c r="J28" s="92"/>
      <c r="K28" s="152"/>
      <c r="L28" s="106"/>
      <c r="M28" s="105"/>
      <c r="N28" s="120"/>
      <c r="O28" s="112"/>
      <c r="P28" s="112"/>
      <c r="Q28" s="112"/>
      <c r="R28" s="112"/>
      <c r="S28" s="112"/>
      <c r="T28" s="112"/>
      <c r="U28" s="112"/>
      <c r="V28" s="112"/>
      <c r="W28" s="112"/>
      <c r="X28" s="112"/>
      <c r="Y28" s="112"/>
      <c r="Z28" s="112"/>
      <c r="AA28" s="112"/>
      <c r="AB28" s="113"/>
      <c r="AC28" s="105"/>
      <c r="AD28" s="105"/>
      <c r="AE28" s="697">
        <v>22</v>
      </c>
      <c r="AF28" s="882">
        <v>2.4239999999999999</v>
      </c>
      <c r="AG28" s="882">
        <v>35</v>
      </c>
      <c r="AH28" s="882">
        <v>242.5</v>
      </c>
      <c r="AI28" s="879">
        <f>+AI27</f>
        <v>0</v>
      </c>
      <c r="AJ28" s="879">
        <f t="shared" ref="AJ28:AP28" si="3">+AJ27</f>
        <v>0</v>
      </c>
      <c r="AK28" s="879">
        <f t="shared" si="3"/>
        <v>0</v>
      </c>
      <c r="AL28" s="879">
        <f t="shared" si="3"/>
        <v>0</v>
      </c>
      <c r="AM28" s="879">
        <f t="shared" si="3"/>
        <v>100</v>
      </c>
      <c r="AN28" s="879">
        <f t="shared" si="3"/>
        <v>0</v>
      </c>
      <c r="AO28" s="879">
        <f t="shared" si="3"/>
        <v>0</v>
      </c>
      <c r="AP28" s="879">
        <f t="shared" si="3"/>
        <v>0</v>
      </c>
    </row>
    <row r="29" spans="1:49" ht="22.2" customHeight="1" x14ac:dyDescent="0.3">
      <c r="A29" s="83"/>
      <c r="B29" s="104"/>
      <c r="C29" s="150"/>
      <c r="D29" s="986" t="s">
        <v>1058</v>
      </c>
      <c r="E29" s="994">
        <f>+E23/F58</f>
        <v>-3.8810656895868767E-2</v>
      </c>
      <c r="F29" s="478"/>
      <c r="G29" s="696"/>
      <c r="H29" s="92"/>
      <c r="I29" s="92"/>
      <c r="J29" s="92"/>
      <c r="K29" s="152"/>
      <c r="L29" s="106"/>
      <c r="M29" s="105"/>
      <c r="N29" s="120"/>
      <c r="O29" s="112"/>
      <c r="P29" s="112"/>
      <c r="Q29" s="112"/>
      <c r="R29" s="112"/>
      <c r="S29" s="112"/>
      <c r="T29" s="112"/>
      <c r="U29" s="112"/>
      <c r="V29" s="112"/>
      <c r="W29" s="112"/>
      <c r="X29" s="112"/>
      <c r="Y29" s="112"/>
      <c r="Z29" s="112"/>
      <c r="AA29" s="112"/>
      <c r="AB29" s="113"/>
      <c r="AC29" s="105"/>
      <c r="AD29" s="105"/>
      <c r="AE29" s="105"/>
      <c r="AF29" s="167"/>
      <c r="AG29" s="105"/>
      <c r="AH29" s="698"/>
      <c r="AI29" s="698"/>
      <c r="AJ29" s="83"/>
      <c r="AK29" s="698"/>
      <c r="AL29" s="698"/>
      <c r="AM29" s="105"/>
      <c r="AN29" s="105"/>
      <c r="AO29" s="698"/>
      <c r="AP29" s="698"/>
    </row>
    <row r="30" spans="1:49" ht="22.2" customHeight="1" x14ac:dyDescent="0.3">
      <c r="A30" s="83"/>
      <c r="B30" s="104"/>
      <c r="C30" s="150"/>
      <c r="D30" s="478"/>
      <c r="E30" s="173"/>
      <c r="F30" s="478"/>
      <c r="G30" s="696"/>
      <c r="H30" s="92"/>
      <c r="I30" s="92"/>
      <c r="J30" s="92"/>
      <c r="K30" s="152"/>
      <c r="L30" s="106"/>
      <c r="M30" s="105"/>
      <c r="N30" s="120"/>
      <c r="O30" s="112"/>
      <c r="P30" s="112"/>
      <c r="Q30" s="112"/>
      <c r="R30" s="112"/>
      <c r="S30" s="112"/>
      <c r="T30" s="112"/>
      <c r="U30" s="112"/>
      <c r="V30" s="112"/>
      <c r="W30" s="112"/>
      <c r="X30" s="112"/>
      <c r="Y30" s="112"/>
      <c r="Z30" s="112"/>
      <c r="AA30" s="112"/>
      <c r="AB30" s="113"/>
      <c r="AC30" s="105"/>
      <c r="AD30" s="105"/>
      <c r="AE30" s="105"/>
      <c r="AF30" s="105"/>
      <c r="AG30" s="698"/>
      <c r="AH30" s="698"/>
      <c r="AI30" s="698"/>
      <c r="AJ30" s="83"/>
      <c r="AK30" s="698"/>
      <c r="AL30" s="698"/>
      <c r="AM30" s="105"/>
      <c r="AN30" s="105"/>
      <c r="AO30" s="698"/>
      <c r="AP30" s="698"/>
    </row>
    <row r="31" spans="1:49" ht="22.2" customHeight="1" x14ac:dyDescent="0.3">
      <c r="A31" s="83"/>
      <c r="B31" s="104"/>
      <c r="C31" s="150"/>
      <c r="D31" s="478"/>
      <c r="E31" s="173"/>
      <c r="F31" s="478"/>
      <c r="G31" s="696"/>
      <c r="H31" s="547" t="s">
        <v>359</v>
      </c>
      <c r="I31" s="547" t="s">
        <v>664</v>
      </c>
      <c r="J31" s="524" t="s">
        <v>235</v>
      </c>
      <c r="K31" s="152"/>
      <c r="L31" s="106"/>
      <c r="M31" s="105"/>
      <c r="N31" s="121"/>
      <c r="O31" s="122"/>
      <c r="P31" s="122"/>
      <c r="Q31" s="122"/>
      <c r="R31" s="122"/>
      <c r="S31" s="122"/>
      <c r="T31" s="122"/>
      <c r="U31" s="122"/>
      <c r="V31" s="122"/>
      <c r="W31" s="122"/>
      <c r="X31" s="122"/>
      <c r="Y31" s="122"/>
      <c r="Z31" s="122"/>
      <c r="AA31" s="122"/>
      <c r="AB31" s="123"/>
      <c r="AC31" s="105"/>
      <c r="AD31" s="105"/>
      <c r="AE31" s="698"/>
      <c r="AF31" s="105"/>
      <c r="AG31" s="699"/>
      <c r="AH31" s="83"/>
      <c r="AI31" s="698"/>
      <c r="AJ31" s="83"/>
      <c r="AK31" s="698"/>
      <c r="AL31" s="83"/>
      <c r="AM31" s="105"/>
      <c r="AN31" s="105"/>
      <c r="AO31" s="698"/>
      <c r="AP31" s="698"/>
    </row>
    <row r="32" spans="1:49" ht="22.2" customHeight="1" x14ac:dyDescent="0.3">
      <c r="A32" s="83"/>
      <c r="B32" s="104"/>
      <c r="C32" s="150"/>
      <c r="D32" s="478"/>
      <c r="E32" s="173"/>
      <c r="F32" s="478"/>
      <c r="G32" s="696"/>
      <c r="H32" s="592" t="s">
        <v>1066</v>
      </c>
      <c r="I32" s="769">
        <v>0.95421999806197799</v>
      </c>
      <c r="J32" s="535" t="s">
        <v>743</v>
      </c>
      <c r="K32" s="152"/>
      <c r="L32" s="106"/>
      <c r="M32" s="105"/>
      <c r="N32" s="92"/>
      <c r="O32" s="112"/>
      <c r="P32" s="112"/>
      <c r="Q32" s="112"/>
      <c r="R32" s="112"/>
      <c r="S32" s="112"/>
      <c r="T32" s="112"/>
      <c r="U32" s="112"/>
      <c r="V32" s="112"/>
      <c r="W32" s="112"/>
      <c r="X32" s="112"/>
      <c r="Y32" s="112"/>
      <c r="Z32" s="112"/>
      <c r="AA32" s="112"/>
      <c r="AB32" s="112"/>
      <c r="AC32" s="105"/>
      <c r="AD32" s="105"/>
      <c r="AE32" s="698"/>
      <c r="AF32" s="698"/>
      <c r="AG32" s="698"/>
      <c r="AH32" s="83"/>
      <c r="AI32" s="83"/>
      <c r="AJ32" s="83"/>
      <c r="AK32" s="83"/>
      <c r="AL32" s="83"/>
      <c r="AM32" s="105"/>
      <c r="AN32" s="105"/>
      <c r="AO32" s="83"/>
    </row>
    <row r="33" spans="1:42" ht="22.2" customHeight="1" x14ac:dyDescent="0.3">
      <c r="A33" s="83"/>
      <c r="B33" s="104"/>
      <c r="C33" s="151"/>
      <c r="D33" s="153"/>
      <c r="E33" s="153"/>
      <c r="F33" s="153"/>
      <c r="G33" s="153"/>
      <c r="H33" s="153"/>
      <c r="I33" s="153"/>
      <c r="J33" s="153"/>
      <c r="K33" s="154"/>
      <c r="L33" s="106"/>
      <c r="M33" s="105"/>
      <c r="N33" s="117"/>
      <c r="O33" s="118"/>
      <c r="P33" s="118"/>
      <c r="Q33" s="118"/>
      <c r="R33" s="118"/>
      <c r="S33" s="118"/>
      <c r="T33" s="118"/>
      <c r="U33" s="118"/>
      <c r="V33" s="118"/>
      <c r="W33" s="118"/>
      <c r="X33" s="118"/>
      <c r="Y33" s="118"/>
      <c r="Z33" s="118"/>
      <c r="AA33" s="118"/>
      <c r="AB33" s="119"/>
      <c r="AC33" s="105"/>
      <c r="AD33" s="105"/>
      <c r="AE33" s="698"/>
      <c r="AF33" s="698"/>
      <c r="AG33" s="698"/>
      <c r="AH33" s="83"/>
      <c r="AI33" s="83"/>
      <c r="AJ33" s="83"/>
      <c r="AK33" s="83"/>
      <c r="AL33" s="83"/>
      <c r="AM33" s="105"/>
      <c r="AN33" s="105"/>
      <c r="AO33" s="83"/>
    </row>
    <row r="34" spans="1:42" ht="22.2" customHeight="1" x14ac:dyDescent="0.3">
      <c r="A34" s="83"/>
      <c r="B34" s="104"/>
      <c r="C34" s="1096" t="str">
        <f>+E6&amp;": Environmental Performance"</f>
        <v>GSR-H₂ : Environmental Performance</v>
      </c>
      <c r="D34" s="1097"/>
      <c r="E34" s="1097"/>
      <c r="F34" s="1097"/>
      <c r="G34" s="1097"/>
      <c r="H34" s="1097"/>
      <c r="I34" s="1097"/>
      <c r="J34" s="1097"/>
      <c r="K34" s="1098"/>
      <c r="L34" s="106"/>
      <c r="M34" s="105"/>
      <c r="N34" s="116"/>
      <c r="O34" s="1096" t="str">
        <f>+E6</f>
        <v xml:space="preserve">GSR-H₂ </v>
      </c>
      <c r="P34" s="1097"/>
      <c r="Q34" s="1097"/>
      <c r="R34" s="1097"/>
      <c r="S34" s="1097"/>
      <c r="T34" s="1098"/>
      <c r="U34" s="92"/>
      <c r="V34" s="1096" t="s">
        <v>684</v>
      </c>
      <c r="W34" s="1097"/>
      <c r="X34" s="1097"/>
      <c r="Y34" s="1097"/>
      <c r="Z34" s="1097"/>
      <c r="AA34" s="1098"/>
      <c r="AB34" s="113"/>
      <c r="AC34" s="105"/>
      <c r="AD34" s="698"/>
      <c r="AE34" s="698"/>
      <c r="AF34" s="698"/>
      <c r="AG34" s="698"/>
      <c r="AH34" s="83"/>
      <c r="AI34" s="83"/>
      <c r="AJ34" s="83"/>
      <c r="AK34" s="83"/>
      <c r="AL34" s="83"/>
      <c r="AM34" s="105"/>
      <c r="AN34" s="105"/>
      <c r="AO34" s="83"/>
    </row>
    <row r="35" spans="1:42" ht="22.2" customHeight="1" x14ac:dyDescent="0.3">
      <c r="A35" s="83"/>
      <c r="B35" s="104"/>
      <c r="C35" s="157"/>
      <c r="D35" s="158"/>
      <c r="E35" s="158"/>
      <c r="F35" s="158"/>
      <c r="G35" s="158"/>
      <c r="H35" s="158"/>
      <c r="I35" s="158"/>
      <c r="J35" s="158"/>
      <c r="K35" s="372"/>
      <c r="L35" s="106"/>
      <c r="M35" s="105"/>
      <c r="N35" s="120"/>
      <c r="O35" s="112"/>
      <c r="P35" s="112"/>
      <c r="Q35" s="112"/>
      <c r="R35" s="112"/>
      <c r="S35" s="92"/>
      <c r="T35" s="112"/>
      <c r="U35" s="112"/>
      <c r="V35" s="112"/>
      <c r="W35" s="112"/>
      <c r="X35" s="112"/>
      <c r="Y35" s="112"/>
      <c r="Z35" s="112"/>
      <c r="AA35" s="112"/>
      <c r="AB35" s="113"/>
      <c r="AC35" s="105"/>
      <c r="AD35" s="698"/>
      <c r="AE35" s="698"/>
      <c r="AF35" s="698"/>
      <c r="AG35" s="698"/>
      <c r="AH35" s="83"/>
      <c r="AI35" s="83"/>
      <c r="AJ35" s="83"/>
      <c r="AK35" s="83"/>
      <c r="AL35" s="83"/>
      <c r="AM35" s="105"/>
      <c r="AN35" s="105"/>
      <c r="AO35" s="83"/>
    </row>
    <row r="36" spans="1:42" ht="22.2" customHeight="1" x14ac:dyDescent="0.3">
      <c r="A36" s="83"/>
      <c r="B36" s="104"/>
      <c r="C36" s="116"/>
      <c r="D36" s="87" t="s">
        <v>1086</v>
      </c>
      <c r="E36" s="713" t="s">
        <v>743</v>
      </c>
      <c r="F36" s="148"/>
      <c r="G36" s="105"/>
      <c r="H36" s="87" t="s">
        <v>734</v>
      </c>
      <c r="I36" s="713" t="s">
        <v>735</v>
      </c>
      <c r="J36" s="474"/>
      <c r="K36" s="152"/>
      <c r="L36" s="106"/>
      <c r="M36" s="105"/>
      <c r="N36" s="120"/>
      <c r="O36" s="1039" t="s">
        <v>579</v>
      </c>
      <c r="P36" s="1040"/>
      <c r="Q36" s="1040"/>
      <c r="R36" s="1040"/>
      <c r="S36" s="1040"/>
      <c r="T36" s="1041"/>
      <c r="U36" s="92"/>
      <c r="V36" s="582" t="s">
        <v>359</v>
      </c>
      <c r="W36" s="631" t="s">
        <v>588</v>
      </c>
      <c r="X36" s="1091" t="s">
        <v>579</v>
      </c>
      <c r="Y36" s="1091"/>
      <c r="Z36" s="1091"/>
      <c r="AA36" s="1092"/>
      <c r="AB36" s="113"/>
      <c r="AC36" s="105"/>
      <c r="AD36" s="698"/>
      <c r="AE36" s="698"/>
      <c r="AF36" s="698"/>
      <c r="AG36" s="698"/>
      <c r="AH36" s="83"/>
      <c r="AI36" s="83"/>
      <c r="AJ36" s="83"/>
      <c r="AK36" s="83"/>
      <c r="AL36" s="83"/>
      <c r="AM36" s="105"/>
      <c r="AN36" s="105"/>
      <c r="AO36" s="83"/>
    </row>
    <row r="37" spans="1:42" ht="22.2" customHeight="1" x14ac:dyDescent="0.3">
      <c r="A37" s="83"/>
      <c r="B37" s="104"/>
      <c r="C37" s="116"/>
      <c r="D37" s="989" t="s">
        <v>737</v>
      </c>
      <c r="E37" s="828">
        <v>6.92840135508842</v>
      </c>
      <c r="F37" s="256"/>
      <c r="G37" s="105"/>
      <c r="H37" s="987" t="s">
        <v>748</v>
      </c>
      <c r="I37" s="750">
        <v>5.6800000000000003E-2</v>
      </c>
      <c r="J37" s="148"/>
      <c r="K37" s="152"/>
      <c r="L37" s="106"/>
      <c r="M37" s="105"/>
      <c r="N37" s="120"/>
      <c r="O37" s="1107" t="s">
        <v>1082</v>
      </c>
      <c r="P37" s="1108"/>
      <c r="Q37" s="1108"/>
      <c r="R37" s="1108"/>
      <c r="S37" s="1108"/>
      <c r="T37" s="1109"/>
      <c r="U37" s="112"/>
      <c r="V37" s="694" t="s">
        <v>932</v>
      </c>
      <c r="W37" s="535" t="s">
        <v>240</v>
      </c>
      <c r="X37" s="1093" t="s">
        <v>933</v>
      </c>
      <c r="Y37" s="1093"/>
      <c r="Z37" s="1093"/>
      <c r="AA37" s="1094"/>
      <c r="AB37" s="113"/>
      <c r="AC37" s="105"/>
      <c r="AD37" s="698"/>
      <c r="AE37" s="698"/>
      <c r="AF37" s="698"/>
      <c r="AG37" s="698"/>
      <c r="AH37" s="83"/>
      <c r="AI37" s="83"/>
      <c r="AJ37" s="83"/>
      <c r="AK37" s="83"/>
      <c r="AL37" s="83"/>
      <c r="AM37" s="698"/>
      <c r="AN37" s="105"/>
      <c r="AO37" s="698"/>
      <c r="AP37" s="698"/>
    </row>
    <row r="38" spans="1:42" ht="22.2" customHeight="1" x14ac:dyDescent="0.3">
      <c r="A38" s="83"/>
      <c r="B38" s="104"/>
      <c r="C38" s="116"/>
      <c r="D38" s="987" t="s">
        <v>738</v>
      </c>
      <c r="E38" s="775">
        <v>6.3544999999999999E-3</v>
      </c>
      <c r="F38" s="256"/>
      <c r="G38" s="105"/>
      <c r="H38" s="987" t="s">
        <v>747</v>
      </c>
      <c r="I38" s="751">
        <v>9.2299999999999993E-2</v>
      </c>
      <c r="J38" s="256"/>
      <c r="K38" s="152"/>
      <c r="L38" s="106"/>
      <c r="M38" s="105"/>
      <c r="N38" s="120"/>
      <c r="O38" s="1110"/>
      <c r="P38" s="1111"/>
      <c r="Q38" s="1111"/>
      <c r="R38" s="1111"/>
      <c r="S38" s="1111"/>
      <c r="T38" s="1112"/>
      <c r="U38" s="112"/>
      <c r="V38" s="373" t="s">
        <v>768</v>
      </c>
      <c r="W38" s="535" t="s">
        <v>452</v>
      </c>
      <c r="X38" s="1095" t="s">
        <v>836</v>
      </c>
      <c r="Y38" s="1095"/>
      <c r="Z38" s="1095"/>
      <c r="AA38" s="1095"/>
      <c r="AB38" s="113"/>
      <c r="AC38" s="105"/>
      <c r="AD38" s="698"/>
      <c r="AE38" s="698"/>
      <c r="AF38" s="698"/>
      <c r="AG38" s="698"/>
      <c r="AH38" s="83"/>
      <c r="AI38" s="83"/>
      <c r="AJ38" s="83"/>
      <c r="AK38" s="83"/>
      <c r="AL38" s="83"/>
      <c r="AM38" s="698"/>
      <c r="AN38" s="698"/>
      <c r="AO38" s="698"/>
      <c r="AP38" s="698"/>
    </row>
    <row r="39" spans="1:42" ht="22.2" customHeight="1" x14ac:dyDescent="0.3">
      <c r="A39" s="83"/>
      <c r="B39" s="104"/>
      <c r="C39" s="116"/>
      <c r="D39" s="987" t="s">
        <v>739</v>
      </c>
      <c r="E39" s="775">
        <v>0.28674120022430499</v>
      </c>
      <c r="F39" s="256"/>
      <c r="G39" s="105"/>
      <c r="H39" s="988" t="s">
        <v>749</v>
      </c>
      <c r="I39" s="752">
        <v>6.3299999999999995E-2</v>
      </c>
      <c r="J39" s="148"/>
      <c r="K39" s="152"/>
      <c r="L39" s="106"/>
      <c r="M39" s="105"/>
      <c r="N39" s="120"/>
      <c r="O39" s="1110"/>
      <c r="P39" s="1111"/>
      <c r="Q39" s="1111"/>
      <c r="R39" s="1111"/>
      <c r="S39" s="1111"/>
      <c r="T39" s="1112"/>
      <c r="U39" s="112"/>
      <c r="V39" s="500" t="s">
        <v>993</v>
      </c>
      <c r="W39" s="535" t="s">
        <v>453</v>
      </c>
      <c r="X39" s="1095" t="s">
        <v>994</v>
      </c>
      <c r="Y39" s="1095"/>
      <c r="Z39" s="1095"/>
      <c r="AA39" s="1095"/>
      <c r="AB39" s="113"/>
      <c r="AC39" s="105"/>
      <c r="AD39" s="698"/>
      <c r="AE39" s="698"/>
      <c r="AF39" s="698"/>
      <c r="AG39" s="698"/>
      <c r="AH39" s="83"/>
      <c r="AI39" s="83"/>
      <c r="AJ39" s="83"/>
      <c r="AK39" s="83"/>
      <c r="AL39" s="83"/>
      <c r="AM39" s="698"/>
      <c r="AN39" s="698"/>
      <c r="AO39" s="698"/>
      <c r="AP39" s="698"/>
    </row>
    <row r="40" spans="1:42" ht="22.2" customHeight="1" x14ac:dyDescent="0.3">
      <c r="A40" s="83"/>
      <c r="B40" s="104"/>
      <c r="C40" s="116"/>
      <c r="D40" s="987" t="s">
        <v>740</v>
      </c>
      <c r="E40" s="775">
        <v>5.9359385327950299E-2</v>
      </c>
      <c r="F40" s="256"/>
      <c r="G40" s="105"/>
      <c r="J40" s="148"/>
      <c r="K40" s="152"/>
      <c r="L40" s="106"/>
      <c r="M40" s="105"/>
      <c r="N40" s="120"/>
      <c r="O40" s="1110"/>
      <c r="P40" s="1111"/>
      <c r="Q40" s="1111"/>
      <c r="R40" s="1111"/>
      <c r="S40" s="1111"/>
      <c r="T40" s="1112"/>
      <c r="U40" s="112"/>
      <c r="V40" s="694" t="s">
        <v>770</v>
      </c>
      <c r="W40" s="535" t="s">
        <v>454</v>
      </c>
      <c r="X40" s="1093" t="s">
        <v>934</v>
      </c>
      <c r="Y40" s="1093"/>
      <c r="Z40" s="1093"/>
      <c r="AA40" s="1094"/>
      <c r="AB40" s="113"/>
      <c r="AC40" s="105"/>
      <c r="AD40" s="698"/>
      <c r="AE40" s="698"/>
      <c r="AF40" s="698"/>
      <c r="AG40" s="698"/>
      <c r="AH40" s="83"/>
      <c r="AI40" s="83"/>
      <c r="AJ40" s="83"/>
      <c r="AK40" s="83"/>
      <c r="AL40" s="83"/>
      <c r="AM40" s="698"/>
      <c r="AN40" s="698"/>
      <c r="AO40" s="698"/>
      <c r="AP40" s="698"/>
    </row>
    <row r="41" spans="1:42" ht="22.2" customHeight="1" x14ac:dyDescent="0.3">
      <c r="A41" s="83"/>
      <c r="B41" s="104"/>
      <c r="C41" s="116"/>
      <c r="D41" s="988" t="s">
        <v>864</v>
      </c>
      <c r="E41" s="225">
        <v>7.6432461281616099E-2</v>
      </c>
      <c r="F41" s="256"/>
      <c r="G41" s="105"/>
      <c r="H41" s="685" t="s">
        <v>745</v>
      </c>
      <c r="I41" s="713" t="s">
        <v>744</v>
      </c>
      <c r="J41" s="148"/>
      <c r="K41" s="152"/>
      <c r="L41" s="106"/>
      <c r="M41" s="105"/>
      <c r="N41" s="120"/>
      <c r="O41" s="1110"/>
      <c r="P41" s="1111"/>
      <c r="Q41" s="1111"/>
      <c r="R41" s="1111"/>
      <c r="S41" s="1111"/>
      <c r="T41" s="1112"/>
      <c r="U41" s="112"/>
      <c r="V41" s="694" t="s">
        <v>1048</v>
      </c>
      <c r="W41" s="535" t="s">
        <v>769</v>
      </c>
      <c r="X41" s="1105" t="s">
        <v>936</v>
      </c>
      <c r="Y41" s="1105"/>
      <c r="Z41" s="1105"/>
      <c r="AA41" s="1106"/>
      <c r="AB41" s="693"/>
      <c r="AC41" s="105"/>
      <c r="AD41" s="698"/>
      <c r="AE41" s="698"/>
      <c r="AF41" s="698"/>
      <c r="AG41" s="698"/>
      <c r="AH41" s="83"/>
      <c r="AI41" s="83"/>
      <c r="AJ41" s="83"/>
      <c r="AK41" s="83"/>
      <c r="AL41" s="83"/>
      <c r="AM41" s="698"/>
      <c r="AN41" s="698"/>
      <c r="AO41" s="698"/>
      <c r="AP41" s="698"/>
    </row>
    <row r="42" spans="1:42" ht="22.2" customHeight="1" x14ac:dyDescent="0.3">
      <c r="A42" s="83"/>
      <c r="B42" s="104"/>
      <c r="C42" s="150"/>
      <c r="D42" s="983" t="s">
        <v>741</v>
      </c>
      <c r="E42" s="776">
        <f>+E39-E38+E40+E41</f>
        <v>0.41617854683387145</v>
      </c>
      <c r="F42" s="256"/>
      <c r="G42" s="105"/>
      <c r="H42" s="990" t="s">
        <v>1083</v>
      </c>
      <c r="I42" s="709">
        <v>73.44</v>
      </c>
      <c r="J42" s="148"/>
      <c r="K42" s="152"/>
      <c r="L42" s="106"/>
      <c r="M42" s="105"/>
      <c r="N42" s="120"/>
      <c r="O42" s="1110"/>
      <c r="P42" s="1111"/>
      <c r="Q42" s="1111"/>
      <c r="R42" s="1111"/>
      <c r="S42" s="1111"/>
      <c r="T42" s="1112"/>
      <c r="U42" s="112"/>
      <c r="V42" s="500" t="s">
        <v>1049</v>
      </c>
      <c r="W42" s="535" t="s">
        <v>773</v>
      </c>
      <c r="X42" s="1093" t="s">
        <v>935</v>
      </c>
      <c r="Y42" s="1093"/>
      <c r="Z42" s="1093"/>
      <c r="AA42" s="1094"/>
      <c r="AB42" s="113"/>
      <c r="AC42" s="105"/>
      <c r="AD42" s="698"/>
      <c r="AE42" s="698"/>
      <c r="AF42" s="698"/>
      <c r="AG42" s="698"/>
      <c r="AH42" s="83"/>
      <c r="AI42" s="83"/>
      <c r="AJ42" s="83"/>
      <c r="AK42" s="83"/>
      <c r="AL42" s="83"/>
      <c r="AM42" s="698"/>
      <c r="AN42" s="698"/>
      <c r="AO42" s="698"/>
      <c r="AP42" s="698"/>
    </row>
    <row r="43" spans="1:42" ht="22.2" customHeight="1" x14ac:dyDescent="0.3">
      <c r="A43" s="83"/>
      <c r="B43" s="104"/>
      <c r="C43" s="150"/>
      <c r="D43" s="685" t="s">
        <v>751</v>
      </c>
      <c r="E43" s="713" t="s">
        <v>456</v>
      </c>
      <c r="F43" s="256"/>
      <c r="G43" s="696"/>
      <c r="H43" s="987" t="s">
        <v>1084</v>
      </c>
      <c r="I43" s="763">
        <v>70.11</v>
      </c>
      <c r="J43" s="696"/>
      <c r="K43" s="152"/>
      <c r="L43" s="106"/>
      <c r="M43" s="105"/>
      <c r="N43" s="120"/>
      <c r="O43" s="1110"/>
      <c r="P43" s="1111"/>
      <c r="Q43" s="1111"/>
      <c r="R43" s="1111"/>
      <c r="S43" s="1111"/>
      <c r="T43" s="1112"/>
      <c r="U43" s="112"/>
      <c r="V43" s="778" t="s">
        <v>868</v>
      </c>
      <c r="W43" s="535" t="s">
        <v>937</v>
      </c>
      <c r="X43" s="1095" t="s">
        <v>938</v>
      </c>
      <c r="Y43" s="1095"/>
      <c r="Z43" s="1095"/>
      <c r="AA43" s="1095"/>
      <c r="AB43" s="113"/>
      <c r="AC43" s="105"/>
      <c r="AD43" s="698"/>
      <c r="AE43" s="698"/>
      <c r="AF43" s="698"/>
      <c r="AG43" s="698"/>
      <c r="AH43" s="83"/>
      <c r="AI43" s="83"/>
      <c r="AJ43" s="83"/>
      <c r="AK43" s="83"/>
      <c r="AL43" s="83"/>
      <c r="AM43" s="698"/>
      <c r="AN43" s="698"/>
      <c r="AO43" s="83"/>
      <c r="AP43" s="83"/>
    </row>
    <row r="44" spans="1:42" ht="22.2" customHeight="1" x14ac:dyDescent="0.3">
      <c r="A44" s="83"/>
      <c r="B44" s="104"/>
      <c r="C44" s="150"/>
      <c r="D44" s="985" t="s">
        <v>742</v>
      </c>
      <c r="E44" s="767">
        <f>+E37/(E58*I58/1000)/I37</f>
        <v>0.94563882051171866</v>
      </c>
      <c r="F44" s="478"/>
      <c r="G44" s="696"/>
      <c r="H44" s="988" t="s">
        <v>1085</v>
      </c>
      <c r="I44" s="757">
        <v>71.11</v>
      </c>
      <c r="J44" s="696"/>
      <c r="K44" s="152"/>
      <c r="L44" s="106"/>
      <c r="M44" s="105"/>
      <c r="N44" s="120"/>
      <c r="O44" s="1110"/>
      <c r="P44" s="1111"/>
      <c r="Q44" s="1111"/>
      <c r="R44" s="1111"/>
      <c r="S44" s="1111"/>
      <c r="T44" s="1112"/>
      <c r="U44" s="112"/>
      <c r="V44" s="91"/>
      <c r="W44" s="92"/>
      <c r="X44" s="92"/>
      <c r="Y44" s="92"/>
      <c r="Z44" s="92"/>
      <c r="AA44" s="84"/>
      <c r="AB44" s="113"/>
      <c r="AC44" s="105"/>
      <c r="AD44" s="698"/>
      <c r="AE44" s="698"/>
      <c r="AF44" s="698"/>
      <c r="AG44" s="698"/>
      <c r="AH44" s="83"/>
      <c r="AI44" s="83"/>
      <c r="AJ44" s="83"/>
      <c r="AK44" s="83"/>
      <c r="AL44" s="83"/>
      <c r="AM44" s="698"/>
      <c r="AN44" s="698"/>
      <c r="AO44" s="83"/>
      <c r="AP44" s="83"/>
    </row>
    <row r="45" spans="1:42" ht="22.2" customHeight="1" x14ac:dyDescent="0.3">
      <c r="A45" s="83"/>
      <c r="B45" s="104"/>
      <c r="C45" s="150"/>
      <c r="D45" s="985" t="s">
        <v>746</v>
      </c>
      <c r="E45" s="829">
        <f>+E37/(E58*I58/1000*I37-E22*I39-E23*I38)</f>
        <v>0.90201499459251622</v>
      </c>
      <c r="F45" s="209"/>
      <c r="G45" s="696"/>
      <c r="J45" s="696"/>
      <c r="K45" s="152"/>
      <c r="L45" s="106"/>
      <c r="M45" s="105"/>
      <c r="N45" s="120"/>
      <c r="O45" s="1110"/>
      <c r="P45" s="1111"/>
      <c r="Q45" s="1111"/>
      <c r="R45" s="1111"/>
      <c r="S45" s="1111"/>
      <c r="T45" s="1112"/>
      <c r="U45" s="112"/>
      <c r="V45" s="91"/>
      <c r="W45" s="92"/>
      <c r="X45" s="92"/>
      <c r="Y45" s="92"/>
      <c r="Z45" s="92"/>
      <c r="AA45" s="84"/>
      <c r="AB45" s="113"/>
      <c r="AC45" s="105"/>
      <c r="AD45" s="698"/>
      <c r="AE45" s="698"/>
      <c r="AF45" s="698"/>
      <c r="AG45" s="698"/>
      <c r="AH45" s="83"/>
      <c r="AI45" s="83"/>
      <c r="AJ45" s="83"/>
      <c r="AK45" s="83"/>
      <c r="AL45" s="83"/>
      <c r="AM45" s="698"/>
      <c r="AN45" s="698"/>
      <c r="AO45" s="83"/>
      <c r="AP45" s="83"/>
    </row>
    <row r="46" spans="1:42" ht="22.2" customHeight="1" x14ac:dyDescent="0.3">
      <c r="A46" s="83"/>
      <c r="B46" s="104"/>
      <c r="C46" s="150"/>
      <c r="D46" s="986" t="s">
        <v>756</v>
      </c>
      <c r="E46" s="768">
        <f>+E37/(E58*I58/1000*I37-I38*E23)</f>
        <v>0.88953804240251977</v>
      </c>
      <c r="F46" s="470"/>
      <c r="G46" s="696"/>
      <c r="H46" s="87" t="s">
        <v>765</v>
      </c>
      <c r="I46" s="87" t="s">
        <v>1054</v>
      </c>
      <c r="J46" s="696"/>
      <c r="K46" s="152"/>
      <c r="L46" s="106"/>
      <c r="M46" s="105"/>
      <c r="N46" s="120"/>
      <c r="O46" s="1110"/>
      <c r="P46" s="1111"/>
      <c r="Q46" s="1111"/>
      <c r="R46" s="1111"/>
      <c r="S46" s="1111"/>
      <c r="T46" s="1112"/>
      <c r="U46" s="112"/>
      <c r="V46" s="91"/>
      <c r="W46" s="92"/>
      <c r="X46" s="92"/>
      <c r="Y46" s="92"/>
      <c r="Z46" s="92"/>
      <c r="AA46" s="84"/>
      <c r="AB46" s="113"/>
      <c r="AC46" s="105"/>
      <c r="AD46" s="698"/>
      <c r="AE46" s="698"/>
      <c r="AF46" s="698"/>
      <c r="AG46" s="698"/>
      <c r="AH46" s="83"/>
      <c r="AI46" s="83"/>
      <c r="AJ46" s="83"/>
      <c r="AK46" s="83"/>
      <c r="AL46" s="83"/>
      <c r="AM46" s="698"/>
      <c r="AN46" s="698"/>
      <c r="AO46" s="83"/>
      <c r="AP46" s="83"/>
    </row>
    <row r="47" spans="1:42" ht="22.2" customHeight="1" x14ac:dyDescent="0.3">
      <c r="A47" s="83"/>
      <c r="B47" s="104"/>
      <c r="C47" s="150"/>
      <c r="D47" s="200">
        <f>+E37/(E37+E42)</f>
        <v>0.94333528229096608</v>
      </c>
      <c r="E47" s="200"/>
      <c r="F47" s="470"/>
      <c r="G47" s="696"/>
      <c r="H47" s="983" t="s">
        <v>765</v>
      </c>
      <c r="I47" s="776">
        <f>+(1/E27-1/I16)/(I43-E50)*1000</f>
        <v>-0.74356273005470708</v>
      </c>
      <c r="J47" s="92"/>
      <c r="K47" s="152"/>
      <c r="L47" s="106"/>
      <c r="M47" s="105"/>
      <c r="N47" s="120"/>
      <c r="O47" s="1110"/>
      <c r="P47" s="1111"/>
      <c r="Q47" s="1111"/>
      <c r="R47" s="1111"/>
      <c r="S47" s="1111"/>
      <c r="T47" s="1112"/>
      <c r="U47" s="112"/>
      <c r="V47" s="692"/>
      <c r="W47" s="167"/>
      <c r="X47" s="710"/>
      <c r="Y47" s="710"/>
      <c r="Z47" s="710"/>
      <c r="AA47" s="113"/>
      <c r="AB47" s="113"/>
      <c r="AC47" s="105"/>
      <c r="AD47" s="698"/>
      <c r="AE47" s="698"/>
      <c r="AF47" s="698"/>
      <c r="AG47" s="698"/>
      <c r="AH47" s="83"/>
      <c r="AI47" s="83"/>
      <c r="AJ47" s="83"/>
      <c r="AK47" s="83"/>
      <c r="AL47" s="83"/>
      <c r="AM47" s="698"/>
      <c r="AN47" s="698"/>
      <c r="AO47" s="83"/>
      <c r="AP47" s="83"/>
    </row>
    <row r="48" spans="1:42" ht="22.2" customHeight="1" x14ac:dyDescent="0.3">
      <c r="A48" s="83"/>
      <c r="B48" s="104"/>
      <c r="C48" s="150"/>
      <c r="D48" s="685" t="s">
        <v>767</v>
      </c>
      <c r="E48" s="713" t="s">
        <v>744</v>
      </c>
      <c r="F48" s="470"/>
      <c r="G48" s="696"/>
      <c r="H48" s="983" t="s">
        <v>766</v>
      </c>
      <c r="I48" s="776">
        <f>+(1/E28-1/I17)/(I44-E51)*1000</f>
        <v>-1.1170161802002263</v>
      </c>
      <c r="J48" s="92"/>
      <c r="K48" s="152"/>
      <c r="L48" s="106"/>
      <c r="M48" s="105"/>
      <c r="N48" s="120"/>
      <c r="O48" s="1110"/>
      <c r="P48" s="1111"/>
      <c r="Q48" s="1111"/>
      <c r="R48" s="1111"/>
      <c r="S48" s="1111"/>
      <c r="T48" s="1112"/>
      <c r="U48" s="112"/>
      <c r="V48" s="692"/>
      <c r="W48" s="167"/>
      <c r="X48" s="710"/>
      <c r="Y48" s="710"/>
      <c r="Z48" s="710"/>
      <c r="AA48" s="113"/>
      <c r="AB48" s="113"/>
      <c r="AC48" s="105"/>
      <c r="AD48" s="698"/>
      <c r="AE48" s="698"/>
      <c r="AF48" s="698"/>
      <c r="AG48" s="698"/>
      <c r="AH48" s="83"/>
      <c r="AI48" s="83"/>
      <c r="AJ48" s="83"/>
      <c r="AK48" s="83"/>
      <c r="AL48" s="83"/>
      <c r="AM48" s="698"/>
      <c r="AN48" s="698"/>
      <c r="AO48" s="83"/>
      <c r="AP48" s="83"/>
    </row>
    <row r="49" spans="1:42" ht="22.2" customHeight="1" x14ac:dyDescent="0.3">
      <c r="A49" s="83"/>
      <c r="B49" s="104"/>
      <c r="C49" s="150"/>
      <c r="D49" s="985" t="s">
        <v>1063</v>
      </c>
      <c r="E49" s="217">
        <f>+$E$42*1000/($I$32*$I$59/1000)</f>
        <v>3.6342135539052891</v>
      </c>
      <c r="F49" s="470"/>
      <c r="G49" s="696"/>
      <c r="H49" s="92"/>
      <c r="I49" s="92"/>
      <c r="J49" s="92"/>
      <c r="K49" s="152"/>
      <c r="L49" s="106"/>
      <c r="M49" s="105"/>
      <c r="N49" s="120"/>
      <c r="O49" s="1110"/>
      <c r="P49" s="1111"/>
      <c r="Q49" s="1111"/>
      <c r="R49" s="1111"/>
      <c r="S49" s="1111"/>
      <c r="T49" s="1112"/>
      <c r="U49" s="112"/>
      <c r="V49" s="692"/>
      <c r="W49" s="167"/>
      <c r="X49" s="710"/>
      <c r="Y49" s="710"/>
      <c r="Z49" s="710"/>
      <c r="AA49" s="113"/>
      <c r="AB49" s="113"/>
      <c r="AC49" s="105"/>
      <c r="AD49" s="698"/>
      <c r="AE49" s="698"/>
      <c r="AF49" s="698"/>
      <c r="AG49" s="698"/>
      <c r="AH49" s="83"/>
      <c r="AI49" s="83"/>
      <c r="AJ49" s="83"/>
      <c r="AK49" s="83"/>
      <c r="AL49" s="83"/>
      <c r="AM49" s="698"/>
      <c r="AN49" s="698"/>
      <c r="AO49" s="83"/>
      <c r="AP49" s="83"/>
    </row>
    <row r="50" spans="1:42" ht="22.2" customHeight="1" x14ac:dyDescent="0.3">
      <c r="A50" s="83"/>
      <c r="B50" s="104"/>
      <c r="C50" s="150"/>
      <c r="D50" s="985" t="s">
        <v>1064</v>
      </c>
      <c r="E50" s="417">
        <f>+($E$42-E23*I38-E22*I39)*1000/($I$32*$I$59/1000)</f>
        <v>6.7284143549006759</v>
      </c>
      <c r="F50" s="696"/>
      <c r="G50" s="696"/>
      <c r="H50" s="92"/>
      <c r="I50" s="92"/>
      <c r="J50" s="92"/>
      <c r="K50" s="152"/>
      <c r="L50" s="106"/>
      <c r="M50" s="105"/>
      <c r="N50" s="120"/>
      <c r="O50" s="1110"/>
      <c r="P50" s="1111"/>
      <c r="Q50" s="1111"/>
      <c r="R50" s="1111"/>
      <c r="S50" s="1111"/>
      <c r="T50" s="1112"/>
      <c r="U50" s="112"/>
      <c r="V50" s="692"/>
      <c r="W50" s="167"/>
      <c r="X50" s="710"/>
      <c r="Y50" s="710"/>
      <c r="Z50" s="710"/>
      <c r="AA50" s="113"/>
      <c r="AB50" s="113"/>
      <c r="AC50" s="105"/>
      <c r="AD50" s="698"/>
      <c r="AE50" s="698"/>
      <c r="AF50" s="698"/>
      <c r="AG50" s="83"/>
      <c r="AH50" s="83"/>
      <c r="AI50" s="83"/>
      <c r="AJ50" s="83"/>
      <c r="AK50" s="83"/>
      <c r="AL50" s="83"/>
      <c r="AM50" s="698"/>
      <c r="AN50" s="698"/>
      <c r="AO50" s="83"/>
      <c r="AP50" s="83"/>
    </row>
    <row r="51" spans="1:42" ht="22.2" customHeight="1" x14ac:dyDescent="0.3">
      <c r="A51" s="83"/>
      <c r="B51" s="104"/>
      <c r="C51" s="150"/>
      <c r="D51" s="986" t="s">
        <v>1065</v>
      </c>
      <c r="E51" s="225">
        <f>+($E$42-E23*I38)*1000/($E$58*$I$58/1000)</f>
        <v>6.8086390157703143</v>
      </c>
      <c r="F51" s="696"/>
      <c r="G51" s="696"/>
      <c r="K51" s="152"/>
      <c r="L51" s="106"/>
      <c r="M51" s="105"/>
      <c r="N51" s="120"/>
      <c r="O51" s="1110"/>
      <c r="P51" s="1111"/>
      <c r="Q51" s="1111"/>
      <c r="R51" s="1111"/>
      <c r="S51" s="1111"/>
      <c r="T51" s="1112"/>
      <c r="U51" s="112"/>
      <c r="V51" s="692"/>
      <c r="W51" s="167"/>
      <c r="X51" s="710"/>
      <c r="Y51" s="710"/>
      <c r="Z51" s="710"/>
      <c r="AA51" s="113"/>
      <c r="AB51" s="113"/>
      <c r="AC51" s="105"/>
      <c r="AD51" s="698"/>
      <c r="AE51" s="83"/>
      <c r="AF51" s="698"/>
      <c r="AG51" s="83"/>
      <c r="AH51" s="83"/>
      <c r="AI51" s="83"/>
      <c r="AJ51" s="83"/>
      <c r="AK51" s="83"/>
      <c r="AL51" s="83"/>
      <c r="AM51" s="698"/>
      <c r="AN51" s="698"/>
      <c r="AO51" s="83"/>
      <c r="AP51" s="83"/>
    </row>
    <row r="52" spans="1:42" ht="22.2" customHeight="1" x14ac:dyDescent="0.3">
      <c r="A52" s="83"/>
      <c r="B52" s="104"/>
      <c r="C52" s="150"/>
      <c r="D52" s="696"/>
      <c r="E52" s="696"/>
      <c r="F52" s="696"/>
      <c r="G52" s="696"/>
      <c r="H52" s="547" t="s">
        <v>359</v>
      </c>
      <c r="I52" s="547" t="s">
        <v>664</v>
      </c>
      <c r="J52" s="524" t="s">
        <v>235</v>
      </c>
      <c r="K52" s="152"/>
      <c r="L52" s="106"/>
      <c r="M52" s="105"/>
      <c r="N52" s="120"/>
      <c r="O52" s="1110"/>
      <c r="P52" s="1111"/>
      <c r="Q52" s="1111"/>
      <c r="R52" s="1111"/>
      <c r="S52" s="1111"/>
      <c r="T52" s="1112"/>
      <c r="U52" s="112"/>
      <c r="V52" s="692"/>
      <c r="W52" s="167"/>
      <c r="X52" s="710"/>
      <c r="Y52" s="710"/>
      <c r="Z52" s="710"/>
      <c r="AA52" s="113"/>
      <c r="AB52" s="113"/>
      <c r="AC52" s="105"/>
      <c r="AD52" s="698"/>
      <c r="AE52" s="83"/>
      <c r="AF52" s="83"/>
      <c r="AG52" s="83"/>
      <c r="AH52" s="83"/>
      <c r="AI52" s="83"/>
      <c r="AJ52" s="83"/>
      <c r="AK52" s="83"/>
      <c r="AL52" s="83"/>
      <c r="AM52" s="698"/>
      <c r="AN52" s="698"/>
      <c r="AO52" s="83"/>
      <c r="AP52" s="83"/>
    </row>
    <row r="53" spans="1:42" ht="22.2" customHeight="1" x14ac:dyDescent="0.3">
      <c r="A53" s="83"/>
      <c r="B53" s="104"/>
      <c r="C53" s="150"/>
      <c r="D53" s="747"/>
      <c r="E53" s="747"/>
      <c r="F53" s="747"/>
      <c r="G53" s="747"/>
      <c r="H53" s="592" t="s">
        <v>736</v>
      </c>
      <c r="I53" s="777">
        <f>+E42</f>
        <v>0.41617854683387145</v>
      </c>
      <c r="J53" s="535" t="s">
        <v>743</v>
      </c>
      <c r="K53" s="152"/>
      <c r="L53" s="106"/>
      <c r="M53" s="105"/>
      <c r="N53" s="120"/>
      <c r="O53" s="1110"/>
      <c r="P53" s="1111"/>
      <c r="Q53" s="1111"/>
      <c r="R53" s="1111"/>
      <c r="S53" s="1111"/>
      <c r="T53" s="1112"/>
      <c r="U53" s="112"/>
      <c r="V53" s="806"/>
      <c r="W53" s="167"/>
      <c r="X53" s="725"/>
      <c r="Y53" s="725"/>
      <c r="Z53" s="725"/>
      <c r="AA53" s="113"/>
      <c r="AB53" s="113"/>
      <c r="AC53" s="105"/>
      <c r="AD53" s="698"/>
      <c r="AE53" s="83"/>
      <c r="AF53" s="83"/>
      <c r="AG53" s="83"/>
      <c r="AH53" s="83"/>
      <c r="AI53" s="83"/>
      <c r="AJ53" s="83"/>
      <c r="AK53" s="83"/>
      <c r="AL53" s="83"/>
      <c r="AM53" s="698"/>
      <c r="AN53" s="698"/>
      <c r="AO53" s="83"/>
      <c r="AP53" s="83"/>
    </row>
    <row r="54" spans="1:42" ht="22.2" customHeight="1" x14ac:dyDescent="0.3">
      <c r="A54" s="83"/>
      <c r="B54" s="104"/>
      <c r="C54" s="150"/>
      <c r="D54" s="747"/>
      <c r="E54" s="747"/>
      <c r="F54" s="747"/>
      <c r="G54" s="747"/>
      <c r="H54" s="747"/>
      <c r="I54" s="747"/>
      <c r="J54" s="747"/>
      <c r="K54" s="152"/>
      <c r="L54" s="106"/>
      <c r="M54" s="105"/>
      <c r="N54" s="120"/>
      <c r="O54" s="1113"/>
      <c r="P54" s="1114"/>
      <c r="Q54" s="1114"/>
      <c r="R54" s="1114"/>
      <c r="S54" s="1114"/>
      <c r="T54" s="1115"/>
      <c r="U54" s="112"/>
      <c r="V54" s="121"/>
      <c r="W54" s="122"/>
      <c r="X54" s="122"/>
      <c r="Y54" s="122"/>
      <c r="Z54" s="122"/>
      <c r="AA54" s="123"/>
      <c r="AB54" s="113"/>
      <c r="AC54" s="105"/>
      <c r="AD54" s="698"/>
      <c r="AE54" s="83"/>
      <c r="AF54" s="83"/>
      <c r="AG54" s="83"/>
      <c r="AH54" s="83"/>
      <c r="AI54" s="83"/>
      <c r="AJ54" s="83"/>
      <c r="AK54" s="83"/>
      <c r="AL54" s="83"/>
      <c r="AM54" s="698"/>
      <c r="AN54" s="698"/>
      <c r="AO54" s="83"/>
      <c r="AP54" s="83"/>
    </row>
    <row r="55" spans="1:42" ht="22.2" customHeight="1" x14ac:dyDescent="0.3">
      <c r="A55" s="83"/>
      <c r="B55" s="104"/>
      <c r="C55" s="1096" t="str">
        <f>+E6&amp;" Fuel / Raw Materials"</f>
        <v>GSR-H₂  Fuel / Raw Materials</v>
      </c>
      <c r="D55" s="1097"/>
      <c r="E55" s="1097"/>
      <c r="F55" s="1097"/>
      <c r="G55" s="1097"/>
      <c r="H55" s="1097"/>
      <c r="I55" s="1097"/>
      <c r="J55" s="1097"/>
      <c r="K55" s="1098"/>
      <c r="L55" s="106"/>
      <c r="M55" s="105"/>
      <c r="N55" s="120"/>
      <c r="O55" s="112"/>
      <c r="P55" s="112"/>
      <c r="Q55" s="112"/>
      <c r="R55" s="112"/>
      <c r="S55" s="112"/>
      <c r="T55" s="112"/>
      <c r="U55" s="112"/>
      <c r="V55" s="112"/>
      <c r="W55" s="112"/>
      <c r="X55" s="112"/>
      <c r="Y55" s="112"/>
      <c r="Z55" s="112"/>
      <c r="AA55" s="112"/>
      <c r="AB55" s="113"/>
      <c r="AC55" s="105"/>
      <c r="AD55" s="698"/>
      <c r="AE55" s="83"/>
      <c r="AF55" s="83"/>
      <c r="AG55" s="83"/>
      <c r="AH55" s="83"/>
      <c r="AI55" s="83"/>
      <c r="AJ55" s="83"/>
      <c r="AK55" s="83"/>
      <c r="AL55" s="83"/>
      <c r="AM55" s="698"/>
      <c r="AN55" s="698"/>
      <c r="AO55" s="83"/>
      <c r="AP55" s="83"/>
    </row>
    <row r="56" spans="1:42" ht="22.2" customHeight="1" x14ac:dyDescent="0.3">
      <c r="A56" s="83"/>
      <c r="B56" s="104"/>
      <c r="C56" s="157"/>
      <c r="D56" s="158"/>
      <c r="E56" s="158"/>
      <c r="F56" s="158"/>
      <c r="G56" s="158"/>
      <c r="H56" s="158"/>
      <c r="I56" s="158"/>
      <c r="J56" s="158"/>
      <c r="K56" s="372"/>
      <c r="L56" s="106"/>
      <c r="M56" s="83"/>
      <c r="N56" s="104"/>
      <c r="O56" s="1096" t="s">
        <v>720</v>
      </c>
      <c r="P56" s="1097"/>
      <c r="Q56" s="1097"/>
      <c r="R56" s="1097"/>
      <c r="S56" s="1097"/>
      <c r="T56" s="1098"/>
      <c r="U56" s="105"/>
      <c r="V56" s="1102" t="s">
        <v>726</v>
      </c>
      <c r="W56" s="1103"/>
      <c r="X56" s="1103"/>
      <c r="Y56" s="1103"/>
      <c r="Z56" s="1103"/>
      <c r="AA56" s="1104"/>
      <c r="AB56" s="106"/>
      <c r="AC56" s="105"/>
      <c r="AD56" s="83"/>
      <c r="AE56" s="83"/>
      <c r="AF56" s="83"/>
      <c r="AG56" s="83"/>
      <c r="AH56" s="83"/>
      <c r="AI56" s="83"/>
      <c r="AJ56" s="83"/>
      <c r="AK56" s="83"/>
      <c r="AL56" s="83"/>
      <c r="AM56" s="698"/>
      <c r="AN56" s="698"/>
      <c r="AO56" s="83"/>
      <c r="AP56" s="83"/>
    </row>
    <row r="57" spans="1:42" ht="22.2" customHeight="1" x14ac:dyDescent="0.3">
      <c r="A57" s="83"/>
      <c r="B57" s="91"/>
      <c r="C57" s="116"/>
      <c r="D57" s="87" t="s">
        <v>382</v>
      </c>
      <c r="E57" s="713" t="s">
        <v>743</v>
      </c>
      <c r="F57" s="87" t="s">
        <v>752</v>
      </c>
      <c r="G57" s="105"/>
      <c r="H57" s="87" t="s">
        <v>752</v>
      </c>
      <c r="I57" s="713" t="s">
        <v>754</v>
      </c>
      <c r="J57" s="474"/>
      <c r="K57" s="152"/>
      <c r="L57" s="106"/>
      <c r="M57" s="83"/>
      <c r="N57" s="91"/>
      <c r="O57" s="404"/>
      <c r="P57" s="405"/>
      <c r="Q57" s="405"/>
      <c r="R57" s="405"/>
      <c r="S57" s="405"/>
      <c r="T57" s="406"/>
      <c r="U57" s="105"/>
      <c r="V57" s="104"/>
      <c r="W57" s="105"/>
      <c r="X57" s="105"/>
      <c r="Y57" s="105"/>
      <c r="Z57" s="105"/>
      <c r="AA57" s="106"/>
      <c r="AB57" s="106"/>
      <c r="AC57" s="83"/>
      <c r="AD57" s="83"/>
      <c r="AE57" s="83"/>
      <c r="AF57" s="83"/>
      <c r="AG57" s="83"/>
      <c r="AH57" s="83"/>
      <c r="AI57" s="83"/>
      <c r="AJ57" s="83"/>
      <c r="AK57" s="83"/>
      <c r="AL57" s="83"/>
      <c r="AM57" s="698"/>
      <c r="AN57" s="698"/>
      <c r="AO57" s="83"/>
      <c r="AP57" s="83"/>
    </row>
    <row r="58" spans="1:42" ht="22.2" customHeight="1" x14ac:dyDescent="0.3">
      <c r="A58" s="83"/>
      <c r="B58" s="91"/>
      <c r="C58" s="116"/>
      <c r="D58" s="981" t="s">
        <v>353</v>
      </c>
      <c r="E58" s="380">
        <v>2.774</v>
      </c>
      <c r="F58" s="991">
        <f>+E58*$I$58/1000</f>
        <v>128.99100000000001</v>
      </c>
      <c r="G58" s="105"/>
      <c r="H58" s="987" t="s">
        <v>753</v>
      </c>
      <c r="I58" s="490">
        <v>46500</v>
      </c>
      <c r="J58" s="148"/>
      <c r="K58" s="152"/>
      <c r="L58" s="106"/>
      <c r="M58" s="83"/>
      <c r="N58" s="104"/>
      <c r="O58" s="91"/>
      <c r="T58" s="84"/>
      <c r="U58" s="105"/>
      <c r="V58" s="104"/>
      <c r="W58" s="1126" t="s">
        <v>721</v>
      </c>
      <c r="X58" s="1126"/>
      <c r="Y58" s="1126"/>
      <c r="Z58" s="550" t="s">
        <v>342</v>
      </c>
      <c r="AA58" s="106"/>
      <c r="AB58" s="106"/>
      <c r="AC58" s="83"/>
      <c r="AD58" s="83"/>
      <c r="AF58" s="83"/>
      <c r="AG58" s="83"/>
      <c r="AH58" s="83"/>
      <c r="AI58" s="83"/>
      <c r="AJ58" s="83"/>
      <c r="AK58" s="83"/>
      <c r="AL58" s="83"/>
      <c r="AM58" s="698"/>
      <c r="AN58" s="698"/>
      <c r="AO58" s="83"/>
      <c r="AP58" s="83"/>
    </row>
    <row r="59" spans="1:42" ht="22.2" customHeight="1" x14ac:dyDescent="0.3">
      <c r="A59" s="83"/>
      <c r="B59" s="91"/>
      <c r="C59" s="116"/>
      <c r="D59" s="985" t="s">
        <v>757</v>
      </c>
      <c r="E59" s="764">
        <f>+(E58*I58/1000-E23/I20-E22/I21)/I58*1000</f>
        <v>2.9066977107216942</v>
      </c>
      <c r="F59" s="851">
        <f t="shared" ref="F59:F60" si="4">+E59*$I$58/1000</f>
        <v>135.16144354855876</v>
      </c>
      <c r="G59" s="105"/>
      <c r="H59" s="988" t="s">
        <v>1066</v>
      </c>
      <c r="I59" s="493">
        <v>120010.910768182</v>
      </c>
      <c r="J59" s="256"/>
      <c r="K59" s="152"/>
      <c r="L59" s="106"/>
      <c r="M59" s="83"/>
      <c r="N59" s="104"/>
      <c r="O59" s="91"/>
      <c r="P59" s="1080" t="s">
        <v>1077</v>
      </c>
      <c r="Q59" s="1081"/>
      <c r="R59" s="1082"/>
      <c r="S59" s="1086"/>
      <c r="T59" s="84"/>
      <c r="U59" s="105"/>
      <c r="V59" s="104"/>
      <c r="W59" s="1127" t="s">
        <v>577</v>
      </c>
      <c r="X59" s="706"/>
      <c r="Y59" s="1129" t="s">
        <v>578</v>
      </c>
      <c r="Z59" s="1131">
        <v>22</v>
      </c>
      <c r="AA59" s="106"/>
      <c r="AB59" s="106"/>
      <c r="AC59" s="83"/>
      <c r="AD59" s="83"/>
      <c r="AG59" s="83"/>
      <c r="AH59" s="83"/>
      <c r="AI59" s="83"/>
      <c r="AK59" s="83"/>
      <c r="AL59" s="83"/>
      <c r="AM59" s="698"/>
      <c r="AN59" s="698"/>
      <c r="AO59" s="83"/>
      <c r="AP59" s="83"/>
    </row>
    <row r="60" spans="1:42" ht="22.2" customHeight="1" x14ac:dyDescent="0.3">
      <c r="A60" s="83"/>
      <c r="B60" s="91"/>
      <c r="C60" s="116"/>
      <c r="D60" s="986" t="s">
        <v>758</v>
      </c>
      <c r="E60" s="765">
        <f>+(E58*I58/1000-E23/I20-E22/I21*0)/I58*1000</f>
        <v>2.9473667668746217</v>
      </c>
      <c r="F60" s="852">
        <f t="shared" si="4"/>
        <v>137.05255465966991</v>
      </c>
      <c r="G60" s="105"/>
      <c r="H60" s="148"/>
      <c r="I60" s="148"/>
      <c r="J60" s="148"/>
      <c r="K60" s="152"/>
      <c r="L60" s="106"/>
      <c r="M60" s="83"/>
      <c r="N60" s="104"/>
      <c r="O60" s="91"/>
      <c r="P60" s="1083"/>
      <c r="Q60" s="1084"/>
      <c r="R60" s="1085"/>
      <c r="S60" s="1087"/>
      <c r="T60" s="84"/>
      <c r="U60" s="105"/>
      <c r="V60" s="104"/>
      <c r="W60" s="1128"/>
      <c r="X60" s="707"/>
      <c r="Y60" s="1130"/>
      <c r="Z60" s="1132"/>
      <c r="AA60" s="106"/>
      <c r="AB60" s="106"/>
      <c r="AC60" s="83"/>
      <c r="AD60" s="83"/>
      <c r="AG60" s="83"/>
      <c r="AH60" s="83"/>
      <c r="AI60" s="83"/>
      <c r="AK60" s="83"/>
      <c r="AL60" s="83"/>
      <c r="AM60" s="83"/>
      <c r="AN60" s="698"/>
      <c r="AO60" s="83"/>
      <c r="AP60" s="83"/>
    </row>
    <row r="61" spans="1:42" ht="22.2" customHeight="1" x14ac:dyDescent="0.35">
      <c r="A61" s="83"/>
      <c r="B61" s="91"/>
      <c r="C61" s="116"/>
      <c r="F61" s="256"/>
      <c r="G61" s="105"/>
      <c r="H61" s="148"/>
      <c r="I61" s="148"/>
      <c r="J61" s="148"/>
      <c r="K61" s="152"/>
      <c r="L61" s="106"/>
      <c r="M61" s="83"/>
      <c r="N61" s="104"/>
      <c r="O61" s="91"/>
      <c r="P61" s="1005"/>
      <c r="Q61" s="1005"/>
      <c r="R61" s="651"/>
      <c r="T61" s="84"/>
      <c r="U61" s="105"/>
      <c r="V61" s="104"/>
      <c r="AA61" s="106"/>
      <c r="AB61" s="106"/>
      <c r="AC61" s="83"/>
      <c r="AD61" s="83"/>
      <c r="AG61" s="83"/>
      <c r="AH61" s="83"/>
      <c r="AI61" s="83"/>
      <c r="AK61" s="83"/>
      <c r="AL61" s="83"/>
      <c r="AM61" s="83"/>
      <c r="AN61" s="83"/>
      <c r="AO61" s="83"/>
      <c r="AP61" s="83"/>
    </row>
    <row r="62" spans="1:42" ht="22.2" customHeight="1" x14ac:dyDescent="0.3">
      <c r="A62" s="83"/>
      <c r="B62" s="91"/>
      <c r="C62" s="116"/>
      <c r="D62" s="770" t="s">
        <v>920</v>
      </c>
      <c r="E62" s="87" t="s">
        <v>921</v>
      </c>
      <c r="F62" s="256"/>
      <c r="G62" s="105"/>
      <c r="H62" s="148"/>
      <c r="I62" s="148"/>
      <c r="J62" s="148"/>
      <c r="K62" s="152"/>
      <c r="L62" s="106"/>
      <c r="M62" s="83"/>
      <c r="N62" s="104"/>
      <c r="O62" s="91"/>
      <c r="P62" s="1080" t="s">
        <v>1078</v>
      </c>
      <c r="Q62" s="1081"/>
      <c r="R62" s="1082"/>
      <c r="S62" s="1086"/>
      <c r="T62" s="84"/>
      <c r="U62" s="105"/>
      <c r="V62" s="104"/>
      <c r="W62" s="1123" t="s">
        <v>723</v>
      </c>
      <c r="X62" s="1124"/>
      <c r="Y62" s="1125"/>
      <c r="Z62" s="589" t="s">
        <v>342</v>
      </c>
      <c r="AA62" s="106"/>
      <c r="AB62" s="106"/>
      <c r="AC62" s="83"/>
      <c r="AD62" s="83"/>
      <c r="AG62" s="83"/>
      <c r="AI62" s="83"/>
      <c r="AK62" s="83"/>
      <c r="AM62" s="83"/>
      <c r="AN62" s="83"/>
      <c r="AO62" s="83"/>
      <c r="AP62" s="83"/>
    </row>
    <row r="63" spans="1:42" ht="22.2" customHeight="1" x14ac:dyDescent="0.3">
      <c r="A63" s="83"/>
      <c r="B63" s="91"/>
      <c r="C63" s="150"/>
      <c r="D63" s="384" t="s">
        <v>732</v>
      </c>
      <c r="E63" s="853">
        <v>0.89</v>
      </c>
      <c r="F63" s="256"/>
      <c r="G63" s="105"/>
      <c r="H63" s="148"/>
      <c r="I63" s="148"/>
      <c r="J63" s="148"/>
      <c r="K63" s="152"/>
      <c r="L63" s="106"/>
      <c r="M63" s="83"/>
      <c r="N63" s="104"/>
      <c r="O63" s="91"/>
      <c r="P63" s="1083"/>
      <c r="Q63" s="1084"/>
      <c r="R63" s="1085"/>
      <c r="S63" s="1087"/>
      <c r="T63" s="84"/>
      <c r="U63" s="105"/>
      <c r="V63" s="104"/>
      <c r="W63" s="1127" t="str">
        <f>+W59</f>
        <v>ADD</v>
      </c>
      <c r="X63" s="1119"/>
      <c r="Y63" s="1129" t="str">
        <f>+Y59</f>
        <v>REMOVE</v>
      </c>
      <c r="Z63" s="1131">
        <v>3</v>
      </c>
      <c r="AA63" s="106"/>
      <c r="AB63" s="106"/>
      <c r="AC63" s="83"/>
      <c r="AD63" s="83"/>
      <c r="AG63" s="83"/>
      <c r="AM63" s="83"/>
      <c r="AN63" s="83"/>
      <c r="AO63" s="83"/>
      <c r="AP63" s="83"/>
    </row>
    <row r="64" spans="1:42" ht="22.2" customHeight="1" x14ac:dyDescent="0.35">
      <c r="A64" s="83"/>
      <c r="B64" s="91"/>
      <c r="C64" s="150"/>
      <c r="D64" s="384" t="s">
        <v>916</v>
      </c>
      <c r="E64" s="853">
        <v>89</v>
      </c>
      <c r="F64" s="256"/>
      <c r="G64" s="696"/>
      <c r="H64" s="696"/>
      <c r="I64" s="696"/>
      <c r="J64" s="696"/>
      <c r="K64" s="152"/>
      <c r="L64" s="106"/>
      <c r="M64" s="83"/>
      <c r="N64" s="104"/>
      <c r="O64" s="91"/>
      <c r="P64" s="651"/>
      <c r="Q64" s="651"/>
      <c r="R64" s="651"/>
      <c r="T64" s="84"/>
      <c r="U64" s="105"/>
      <c r="V64" s="104"/>
      <c r="W64" s="1128"/>
      <c r="X64" s="1120"/>
      <c r="Y64" s="1130"/>
      <c r="Z64" s="1132"/>
      <c r="AA64" s="106"/>
      <c r="AB64" s="106"/>
      <c r="AC64" s="83"/>
      <c r="AD64" s="83"/>
      <c r="AG64" s="83"/>
      <c r="AM64" s="83"/>
      <c r="AN64" s="83"/>
      <c r="AO64" s="83"/>
      <c r="AP64" s="83"/>
    </row>
    <row r="65" spans="1:42" ht="22.2" customHeight="1" x14ac:dyDescent="0.3">
      <c r="A65" s="83"/>
      <c r="B65" s="91"/>
      <c r="C65" s="150"/>
      <c r="D65" s="758" t="s">
        <v>917</v>
      </c>
      <c r="E65" s="755">
        <v>7</v>
      </c>
      <c r="F65" s="478"/>
      <c r="G65" s="696"/>
      <c r="H65" s="696"/>
      <c r="I65" s="696"/>
      <c r="J65" s="696"/>
      <c r="K65" s="152"/>
      <c r="L65" s="106"/>
      <c r="M65" s="83"/>
      <c r="N65" s="104"/>
      <c r="O65" s="91"/>
      <c r="P65" s="1089" t="s">
        <v>1079</v>
      </c>
      <c r="Q65" s="1089"/>
      <c r="R65" s="1089"/>
      <c r="S65" s="1086"/>
      <c r="T65" s="84"/>
      <c r="U65" s="105"/>
      <c r="V65" s="104"/>
      <c r="W65" s="105"/>
      <c r="X65" s="105"/>
      <c r="Y65" s="105"/>
      <c r="Z65" s="105"/>
      <c r="AA65" s="106"/>
      <c r="AB65" s="106"/>
      <c r="AC65" s="83"/>
      <c r="AD65" s="83"/>
      <c r="AG65" s="83"/>
      <c r="AM65" s="83"/>
      <c r="AN65" s="83"/>
      <c r="AO65" s="83"/>
      <c r="AP65" s="83"/>
    </row>
    <row r="66" spans="1:42" ht="22.2" customHeight="1" x14ac:dyDescent="0.3">
      <c r="A66" s="83"/>
      <c r="B66" s="91"/>
      <c r="C66" s="150"/>
      <c r="D66" s="749" t="s">
        <v>918</v>
      </c>
      <c r="E66" s="755">
        <v>1</v>
      </c>
      <c r="F66" s="209"/>
      <c r="G66" s="696"/>
      <c r="H66" s="696"/>
      <c r="I66" s="696"/>
      <c r="J66" s="696"/>
      <c r="K66" s="152"/>
      <c r="L66" s="106"/>
      <c r="M66" s="83"/>
      <c r="N66" s="104"/>
      <c r="O66" s="91"/>
      <c r="P66" s="1089"/>
      <c r="Q66" s="1089"/>
      <c r="R66" s="1089"/>
      <c r="S66" s="1087"/>
      <c r="T66" s="84"/>
      <c r="U66" s="105"/>
      <c r="V66" s="104"/>
      <c r="W66" s="1123" t="s">
        <v>722</v>
      </c>
      <c r="X66" s="1124"/>
      <c r="Y66" s="1125"/>
      <c r="Z66" s="589" t="s">
        <v>342</v>
      </c>
      <c r="AA66" s="106"/>
      <c r="AB66" s="106"/>
      <c r="AC66" s="83"/>
      <c r="AD66" s="83"/>
      <c r="AG66" s="83"/>
      <c r="AM66" s="83"/>
      <c r="AN66" s="83"/>
      <c r="AO66" s="83"/>
      <c r="AP66" s="83"/>
    </row>
    <row r="67" spans="1:42" ht="22.2" customHeight="1" x14ac:dyDescent="0.35">
      <c r="A67" s="83"/>
      <c r="B67" s="91"/>
      <c r="C67" s="150"/>
      <c r="D67" s="749" t="s">
        <v>913</v>
      </c>
      <c r="E67" s="878">
        <v>0.05</v>
      </c>
      <c r="F67" s="470"/>
      <c r="G67" s="696"/>
      <c r="H67" s="696"/>
      <c r="I67" s="696"/>
      <c r="J67" s="696"/>
      <c r="K67" s="152"/>
      <c r="L67" s="106"/>
      <c r="M67" s="83"/>
      <c r="N67" s="104"/>
      <c r="O67" s="91"/>
      <c r="P67" s="1006"/>
      <c r="Q67" s="1006"/>
      <c r="R67" s="651"/>
      <c r="T67" s="84"/>
      <c r="U67" s="105"/>
      <c r="V67" s="104"/>
      <c r="W67" s="1127" t="str">
        <f>+W63</f>
        <v>ADD</v>
      </c>
      <c r="X67" s="1119"/>
      <c r="Y67" s="1129" t="str">
        <f>+Y63</f>
        <v>REMOVE</v>
      </c>
      <c r="Z67" s="1131">
        <v>8</v>
      </c>
      <c r="AA67" s="106"/>
      <c r="AB67" s="106"/>
      <c r="AC67" s="83"/>
      <c r="AD67" s="83"/>
      <c r="AG67" s="83"/>
      <c r="AM67" s="83"/>
      <c r="AN67" s="83"/>
      <c r="AO67" s="83"/>
      <c r="AP67" s="83"/>
    </row>
    <row r="68" spans="1:42" ht="22.2" customHeight="1" x14ac:dyDescent="0.3">
      <c r="A68" s="83"/>
      <c r="B68" s="91"/>
      <c r="C68" s="150"/>
      <c r="D68" s="758" t="s">
        <v>914</v>
      </c>
      <c r="E68" s="878">
        <v>0.05</v>
      </c>
      <c r="F68" s="470"/>
      <c r="G68" s="696"/>
      <c r="H68" s="92"/>
      <c r="I68" s="92"/>
      <c r="J68" s="92"/>
      <c r="K68" s="152"/>
      <c r="L68" s="106"/>
      <c r="M68" s="83"/>
      <c r="N68" s="104"/>
      <c r="O68" s="1007"/>
      <c r="P68" s="1080" t="s">
        <v>1080</v>
      </c>
      <c r="Q68" s="1081"/>
      <c r="R68" s="1082"/>
      <c r="S68" s="1086"/>
      <c r="T68" s="84"/>
      <c r="U68" s="105"/>
      <c r="V68" s="104"/>
      <c r="W68" s="1128"/>
      <c r="X68" s="1120"/>
      <c r="Y68" s="1130"/>
      <c r="Z68" s="1132"/>
      <c r="AA68" s="106"/>
      <c r="AB68" s="106"/>
      <c r="AC68" s="83"/>
      <c r="AD68" s="83"/>
      <c r="AG68" s="83"/>
      <c r="AM68" s="83"/>
      <c r="AN68" s="83"/>
      <c r="AO68" s="83"/>
      <c r="AP68" s="83"/>
    </row>
    <row r="69" spans="1:42" ht="22.2" customHeight="1" x14ac:dyDescent="0.3">
      <c r="A69" s="83"/>
      <c r="B69" s="91"/>
      <c r="C69" s="150"/>
      <c r="D69" s="758" t="s">
        <v>915</v>
      </c>
      <c r="E69" s="853">
        <v>5.0000000000000001E-3</v>
      </c>
      <c r="F69" s="470"/>
      <c r="G69" s="696"/>
      <c r="H69" s="92"/>
      <c r="I69" s="92"/>
      <c r="J69" s="92"/>
      <c r="K69" s="152"/>
      <c r="L69" s="106"/>
      <c r="M69" s="83"/>
      <c r="N69" s="104"/>
      <c r="O69" s="1007"/>
      <c r="P69" s="1083"/>
      <c r="Q69" s="1084"/>
      <c r="R69" s="1085"/>
      <c r="S69" s="1087"/>
      <c r="T69" s="84"/>
      <c r="U69" s="105"/>
      <c r="V69" s="104"/>
      <c r="AA69" s="106"/>
      <c r="AB69" s="106"/>
      <c r="AC69" s="83"/>
      <c r="AD69" s="83"/>
      <c r="AG69" s="83"/>
      <c r="AM69" s="83"/>
      <c r="AN69" s="83"/>
      <c r="AO69" s="83"/>
      <c r="AP69" s="83"/>
    </row>
    <row r="70" spans="1:42" ht="22.2" customHeight="1" x14ac:dyDescent="0.35">
      <c r="A70" s="83"/>
      <c r="B70" s="91"/>
      <c r="C70" s="150"/>
      <c r="D70" s="759" t="s">
        <v>919</v>
      </c>
      <c r="E70" s="854">
        <v>5.0000000000000001E-3</v>
      </c>
      <c r="F70" s="470"/>
      <c r="G70" s="696"/>
      <c r="H70" s="92"/>
      <c r="I70" s="92"/>
      <c r="J70" s="92"/>
      <c r="K70" s="152"/>
      <c r="L70" s="106"/>
      <c r="M70" s="83"/>
      <c r="N70" s="104"/>
      <c r="O70" s="1007"/>
      <c r="P70" s="651"/>
      <c r="Q70" s="651"/>
      <c r="R70" s="651"/>
      <c r="T70" s="84"/>
      <c r="U70" s="105"/>
      <c r="V70" s="104"/>
      <c r="W70" s="1122" t="s">
        <v>268</v>
      </c>
      <c r="X70" s="1122"/>
      <c r="Y70" s="1122"/>
      <c r="Z70" s="1122"/>
      <c r="AA70" s="106"/>
      <c r="AB70" s="106"/>
      <c r="AC70" s="83"/>
      <c r="AD70" s="83"/>
      <c r="AG70" s="83"/>
      <c r="AM70" s="83"/>
      <c r="AN70" s="83"/>
      <c r="AO70" s="83"/>
      <c r="AP70" s="83"/>
    </row>
    <row r="71" spans="1:42" ht="22.2" customHeight="1" x14ac:dyDescent="0.3">
      <c r="A71" s="83"/>
      <c r="B71" s="91"/>
      <c r="C71" s="150"/>
      <c r="D71" s="714"/>
      <c r="E71" s="714"/>
      <c r="F71" s="696"/>
      <c r="G71" s="696"/>
      <c r="H71" s="547" t="s">
        <v>359</v>
      </c>
      <c r="I71" s="547" t="s">
        <v>664</v>
      </c>
      <c r="J71" s="524" t="s">
        <v>235</v>
      </c>
      <c r="K71" s="152"/>
      <c r="L71" s="106"/>
      <c r="M71" s="83"/>
      <c r="N71" s="104"/>
      <c r="O71" s="91"/>
      <c r="P71" s="1080" t="s">
        <v>1081</v>
      </c>
      <c r="Q71" s="1081"/>
      <c r="R71" s="1082"/>
      <c r="S71" s="1088"/>
      <c r="T71" s="84"/>
      <c r="U71" s="105"/>
      <c r="V71" s="104"/>
      <c r="W71" s="1121" t="s">
        <v>725</v>
      </c>
      <c r="X71" s="1121"/>
      <c r="Y71" s="1121"/>
      <c r="Z71" s="1121"/>
      <c r="AA71" s="106"/>
      <c r="AB71" s="106"/>
      <c r="AC71" s="83"/>
      <c r="AD71" s="83"/>
      <c r="AG71" s="83"/>
      <c r="AM71" s="83"/>
      <c r="AN71" s="83"/>
      <c r="AO71" s="83"/>
      <c r="AP71" s="83"/>
    </row>
    <row r="72" spans="1:42" ht="22.2" customHeight="1" x14ac:dyDescent="0.3">
      <c r="A72" s="83"/>
      <c r="B72" s="91"/>
      <c r="C72" s="150"/>
      <c r="D72" s="714"/>
      <c r="E72" s="714"/>
      <c r="F72" s="696"/>
      <c r="G72" s="696"/>
      <c r="H72" s="592" t="s">
        <v>753</v>
      </c>
      <c r="I72" s="535">
        <f>+E58</f>
        <v>2.774</v>
      </c>
      <c r="J72" s="535" t="s">
        <v>743</v>
      </c>
      <c r="K72" s="152"/>
      <c r="L72" s="106"/>
      <c r="M72" s="83"/>
      <c r="N72" s="104"/>
      <c r="O72" s="91"/>
      <c r="P72" s="1083"/>
      <c r="Q72" s="1084"/>
      <c r="R72" s="1085"/>
      <c r="S72" s="1088"/>
      <c r="T72" s="84"/>
      <c r="U72" s="105"/>
      <c r="V72" s="104"/>
      <c r="W72" s="1121"/>
      <c r="X72" s="1121"/>
      <c r="Y72" s="1121"/>
      <c r="Z72" s="1121"/>
      <c r="AA72" s="106"/>
      <c r="AB72" s="106"/>
      <c r="AC72" s="83"/>
      <c r="AD72" s="83"/>
      <c r="AG72" s="83"/>
      <c r="AM72" s="83"/>
      <c r="AN72" s="83"/>
      <c r="AO72" s="83"/>
      <c r="AP72" s="83"/>
    </row>
    <row r="73" spans="1:42" ht="22.2" customHeight="1" x14ac:dyDescent="0.3">
      <c r="A73" s="83"/>
      <c r="B73" s="91"/>
      <c r="C73" s="150"/>
      <c r="D73" s="714"/>
      <c r="E73" s="714"/>
      <c r="F73" s="696"/>
      <c r="G73" s="696"/>
      <c r="H73" s="592" t="s">
        <v>354</v>
      </c>
      <c r="I73" s="535"/>
      <c r="J73" s="535" t="s">
        <v>354</v>
      </c>
      <c r="K73" s="152"/>
      <c r="L73" s="106"/>
      <c r="M73" s="83"/>
      <c r="N73" s="104"/>
      <c r="O73" s="91"/>
      <c r="P73" s="1008"/>
      <c r="Q73" s="1008"/>
      <c r="T73" s="84"/>
      <c r="U73" s="105"/>
      <c r="V73" s="104"/>
      <c r="W73" s="1121"/>
      <c r="X73" s="1121"/>
      <c r="Y73" s="1121"/>
      <c r="Z73" s="1121"/>
      <c r="AA73" s="106"/>
      <c r="AB73" s="106"/>
      <c r="AC73" s="83"/>
      <c r="AD73" s="83"/>
      <c r="AG73" s="83"/>
      <c r="AM73" s="83"/>
      <c r="AN73" s="83"/>
      <c r="AO73" s="83"/>
      <c r="AP73" s="83"/>
    </row>
    <row r="74" spans="1:42" ht="22.2" customHeight="1" x14ac:dyDescent="0.3">
      <c r="A74" s="83"/>
      <c r="B74" s="91"/>
      <c r="C74" s="151"/>
      <c r="D74" s="153"/>
      <c r="E74" s="153"/>
      <c r="F74" s="153"/>
      <c r="G74" s="153"/>
      <c r="H74" s="153"/>
      <c r="I74" s="153"/>
      <c r="J74" s="153"/>
      <c r="K74" s="154"/>
      <c r="L74" s="106"/>
      <c r="M74" s="83"/>
      <c r="N74" s="104"/>
      <c r="O74" s="396"/>
      <c r="P74" s="1009"/>
      <c r="Q74" s="1009"/>
      <c r="R74" s="397"/>
      <c r="S74" s="397"/>
      <c r="T74" s="399"/>
      <c r="U74" s="105"/>
      <c r="V74" s="107"/>
      <c r="W74" s="108"/>
      <c r="X74" s="108"/>
      <c r="Y74" s="108"/>
      <c r="Z74" s="108"/>
      <c r="AA74" s="109"/>
      <c r="AB74" s="106"/>
      <c r="AC74" s="83"/>
      <c r="AD74" s="83"/>
      <c r="AG74" s="83"/>
      <c r="AM74" s="83"/>
      <c r="AN74" s="83"/>
      <c r="AO74" s="83"/>
      <c r="AP74" s="83"/>
    </row>
    <row r="75" spans="1:42" ht="18" customHeight="1" x14ac:dyDescent="0.3">
      <c r="A75" s="83"/>
      <c r="B75" s="396"/>
      <c r="C75" s="397"/>
      <c r="D75" s="397"/>
      <c r="E75" s="397"/>
      <c r="F75" s="397"/>
      <c r="G75" s="397"/>
      <c r="H75" s="397"/>
      <c r="I75" s="108"/>
      <c r="J75" s="108"/>
      <c r="K75" s="108"/>
      <c r="L75" s="109"/>
      <c r="M75" s="83"/>
      <c r="N75" s="107"/>
      <c r="O75" s="700"/>
      <c r="P75" s="700"/>
      <c r="Q75" s="700"/>
      <c r="R75" s="108"/>
      <c r="S75" s="108"/>
      <c r="T75" s="108"/>
      <c r="U75" s="108"/>
      <c r="V75" s="108"/>
      <c r="W75" s="108"/>
      <c r="X75" s="108"/>
      <c r="Y75" s="108"/>
      <c r="Z75" s="108"/>
      <c r="AA75" s="108"/>
      <c r="AB75" s="109"/>
      <c r="AC75" s="83"/>
      <c r="AD75" s="83"/>
      <c r="AG75" s="83"/>
      <c r="AM75" s="83"/>
      <c r="AN75" s="83"/>
      <c r="AO75" s="83"/>
      <c r="AP75" s="83"/>
    </row>
    <row r="76" spans="1:42" ht="18" customHeight="1" x14ac:dyDescent="0.3">
      <c r="A76" s="83"/>
      <c r="I76" s="83"/>
      <c r="J76" s="83"/>
      <c r="K76" s="83"/>
      <c r="L76" s="83"/>
      <c r="M76" s="83"/>
      <c r="N76" s="105"/>
      <c r="O76" s="446"/>
      <c r="P76" s="446"/>
      <c r="Q76" s="446"/>
      <c r="R76" s="105"/>
      <c r="S76" s="105"/>
      <c r="T76" s="105"/>
      <c r="U76" s="83"/>
      <c r="V76" s="83"/>
      <c r="W76" s="83"/>
      <c r="X76" s="83"/>
      <c r="Y76" s="83"/>
      <c r="Z76" s="83"/>
      <c r="AA76" s="83"/>
      <c r="AB76" s="83"/>
      <c r="AC76" s="83"/>
      <c r="AD76" s="83"/>
      <c r="AE76" s="83"/>
      <c r="AG76" s="83"/>
      <c r="AM76" s="83"/>
      <c r="AN76" s="83"/>
      <c r="AO76" s="83"/>
      <c r="AP76" s="83"/>
    </row>
    <row r="77" spans="1:42" ht="18" customHeight="1" x14ac:dyDescent="0.3">
      <c r="A77" s="83"/>
      <c r="I77" s="83"/>
      <c r="J77" s="83"/>
      <c r="K77" s="83"/>
      <c r="L77" s="83"/>
      <c r="M77" s="83"/>
      <c r="N77" s="105"/>
      <c r="P77" s="446"/>
      <c r="Q77" s="446"/>
      <c r="R77" s="105"/>
      <c r="S77" s="105"/>
      <c r="T77" s="105"/>
      <c r="U77" s="83"/>
      <c r="V77" s="83"/>
      <c r="W77" s="83"/>
      <c r="X77" s="83"/>
      <c r="Y77" s="83"/>
      <c r="Z77" s="83"/>
      <c r="AA77" s="83"/>
      <c r="AB77" s="83"/>
      <c r="AC77" s="83"/>
      <c r="AD77" s="83"/>
      <c r="AE77" s="83"/>
      <c r="AF77" s="83"/>
      <c r="AG77" s="83"/>
      <c r="AM77" s="83"/>
      <c r="AN77" s="83"/>
      <c r="AO77" s="83"/>
      <c r="AP77" s="83"/>
    </row>
    <row r="78" spans="1:42" ht="18" customHeight="1" x14ac:dyDescent="0.3">
      <c r="A78" s="83"/>
      <c r="I78" s="83"/>
      <c r="J78" s="83"/>
      <c r="K78" s="83"/>
      <c r="L78" s="83"/>
      <c r="M78" s="83"/>
      <c r="N78" s="105"/>
      <c r="O78" s="92"/>
      <c r="P78" s="105"/>
      <c r="Q78" s="105"/>
      <c r="R78" s="105"/>
      <c r="S78" s="105"/>
      <c r="T78" s="105"/>
      <c r="U78" s="83"/>
      <c r="V78" s="83"/>
      <c r="W78" s="83"/>
      <c r="X78" s="83"/>
      <c r="Y78" s="83"/>
      <c r="Z78" s="83"/>
      <c r="AA78" s="83"/>
      <c r="AB78" s="83"/>
      <c r="AC78" s="83"/>
      <c r="AD78" s="83"/>
      <c r="AE78" s="83"/>
      <c r="AF78" s="83"/>
      <c r="AG78" s="83"/>
      <c r="AM78" s="83"/>
      <c r="AN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E79" s="83"/>
      <c r="AF79" s="83"/>
      <c r="AG79" s="83"/>
      <c r="AM79" s="83"/>
      <c r="AN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E80" s="83"/>
      <c r="AF80" s="83"/>
      <c r="AG80" s="83"/>
      <c r="AM80" s="83"/>
      <c r="AN80" s="83"/>
      <c r="AO80" s="83"/>
      <c r="AP80" s="83"/>
    </row>
    <row r="81" spans="1:42" ht="18" customHeight="1" x14ac:dyDescent="0.3">
      <c r="A81" s="83"/>
      <c r="I81" s="83"/>
      <c r="J81" s="83"/>
      <c r="K81" s="83"/>
      <c r="L81" s="83"/>
      <c r="M81" s="83"/>
      <c r="N81" s="105"/>
      <c r="O81" s="105"/>
      <c r="P81" s="105"/>
      <c r="Q81" s="105"/>
      <c r="R81" s="105"/>
      <c r="S81" s="105"/>
      <c r="T81" s="105"/>
      <c r="U81" s="83"/>
      <c r="V81" s="83"/>
      <c r="W81" s="83"/>
      <c r="X81" s="83"/>
      <c r="Y81" s="83"/>
      <c r="Z81" s="83"/>
      <c r="AA81" s="83"/>
      <c r="AB81" s="83"/>
      <c r="AC81" s="83"/>
      <c r="AD81" s="83"/>
      <c r="AE81" s="83"/>
      <c r="AF81" s="83"/>
      <c r="AG81" s="83"/>
      <c r="AM81" s="83"/>
      <c r="AN81" s="83"/>
      <c r="AO81" s="83"/>
      <c r="AP81" s="83"/>
    </row>
    <row r="82" spans="1:42" ht="15" customHeight="1"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E82" s="83"/>
      <c r="AF82" s="83"/>
      <c r="AM82" s="83"/>
      <c r="AN82" s="83"/>
      <c r="AO82" s="83"/>
      <c r="AP82" s="83"/>
    </row>
    <row r="83" spans="1:42" x14ac:dyDescent="0.3">
      <c r="A83" s="83"/>
      <c r="B83" s="105"/>
      <c r="C83" s="105"/>
      <c r="D83" s="105"/>
      <c r="E83" s="105"/>
      <c r="F83" s="105"/>
      <c r="G83" s="105"/>
      <c r="H83" s="105"/>
      <c r="I83" s="83"/>
      <c r="J83" s="83"/>
      <c r="K83" s="83"/>
      <c r="L83" s="83"/>
      <c r="M83" s="83"/>
      <c r="N83" s="83"/>
      <c r="O83" s="83"/>
      <c r="P83" s="83"/>
      <c r="Q83" s="83"/>
      <c r="R83" s="83"/>
      <c r="S83" s="83"/>
      <c r="T83" s="83"/>
      <c r="U83" s="83"/>
      <c r="V83" s="83"/>
      <c r="W83" s="83"/>
      <c r="X83" s="83"/>
      <c r="Y83" s="83"/>
      <c r="Z83" s="83"/>
      <c r="AA83" s="83"/>
      <c r="AB83" s="83"/>
      <c r="AC83" s="83"/>
      <c r="AD83" s="83"/>
      <c r="AF83" s="83"/>
      <c r="AM83" s="83"/>
      <c r="AN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M84" s="83"/>
      <c r="AN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M85" s="83"/>
      <c r="AN85" s="83"/>
      <c r="AO85" s="83"/>
      <c r="AP85" s="83"/>
    </row>
    <row r="86" spans="1:42"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M86" s="83"/>
      <c r="AN86" s="83"/>
      <c r="AO86" s="83"/>
      <c r="AP86" s="83"/>
    </row>
    <row r="87" spans="1:42" x14ac:dyDescent="0.3">
      <c r="AM87" s="83"/>
      <c r="AN87" s="83"/>
      <c r="AO87" s="83"/>
      <c r="AP87" s="83"/>
    </row>
    <row r="88" spans="1:42" x14ac:dyDescent="0.3">
      <c r="AM88" s="83"/>
      <c r="AN88" s="83"/>
      <c r="AO88" s="83"/>
      <c r="AP88" s="83"/>
    </row>
    <row r="89" spans="1:42" x14ac:dyDescent="0.3">
      <c r="AM89" s="83"/>
      <c r="AN89" s="83"/>
      <c r="AO89" s="83"/>
      <c r="AP89" s="83"/>
    </row>
    <row r="90" spans="1:42" x14ac:dyDescent="0.3">
      <c r="AN90" s="83"/>
      <c r="AO90" s="83"/>
      <c r="AP90" s="83"/>
    </row>
    <row r="91" spans="1:42" x14ac:dyDescent="0.3">
      <c r="AO91" s="83"/>
      <c r="AP91" s="83"/>
    </row>
    <row r="92" spans="1:42" x14ac:dyDescent="0.3">
      <c r="AO92" s="83"/>
      <c r="AP92" s="83"/>
    </row>
    <row r="93" spans="1:42" x14ac:dyDescent="0.3">
      <c r="AO93" s="83"/>
      <c r="AP93" s="83"/>
    </row>
    <row r="94" spans="1:42" x14ac:dyDescent="0.3">
      <c r="AO94" s="83"/>
      <c r="AP94" s="83"/>
    </row>
    <row r="95" spans="1:42" x14ac:dyDescent="0.3">
      <c r="AO95" s="83"/>
      <c r="AP95" s="83"/>
    </row>
    <row r="96" spans="1:42" x14ac:dyDescent="0.3">
      <c r="AO96" s="83"/>
      <c r="AP96" s="83"/>
    </row>
    <row r="97" spans="41:42" x14ac:dyDescent="0.3">
      <c r="AO97" s="83"/>
      <c r="AP97" s="83"/>
    </row>
    <row r="98" spans="41:42" x14ac:dyDescent="0.3">
      <c r="AO98" s="83"/>
      <c r="AP98" s="83"/>
    </row>
    <row r="99" spans="41:42" x14ac:dyDescent="0.3">
      <c r="AO99" s="83"/>
      <c r="AP99" s="83"/>
    </row>
    <row r="100" spans="41:42" x14ac:dyDescent="0.3">
      <c r="AO100" s="83"/>
      <c r="AP100" s="83"/>
    </row>
    <row r="101" spans="41:42" x14ac:dyDescent="0.3">
      <c r="AO101" s="83"/>
      <c r="AP101" s="83"/>
    </row>
    <row r="102" spans="41:42" x14ac:dyDescent="0.3">
      <c r="AO102" s="83"/>
      <c r="AP102" s="83"/>
    </row>
    <row r="103" spans="41:42" x14ac:dyDescent="0.3">
      <c r="AO103" s="83"/>
      <c r="AP103" s="83"/>
    </row>
    <row r="104" spans="41:42" x14ac:dyDescent="0.3">
      <c r="AO104" s="83"/>
      <c r="AP104" s="83"/>
    </row>
    <row r="105" spans="41:42" x14ac:dyDescent="0.3">
      <c r="AO105" s="83"/>
    </row>
    <row r="106" spans="41:42" x14ac:dyDescent="0.3">
      <c r="AO106" s="83"/>
    </row>
    <row r="107" spans="41:42" x14ac:dyDescent="0.3">
      <c r="AO107" s="83"/>
    </row>
    <row r="108" spans="41:42" x14ac:dyDescent="0.3">
      <c r="AO108" s="83"/>
    </row>
    <row r="109" spans="41:42" x14ac:dyDescent="0.3">
      <c r="AO109" s="83"/>
    </row>
    <row r="110" spans="41:42" x14ac:dyDescent="0.3">
      <c r="AO110" s="83"/>
    </row>
  </sheetData>
  <mergeCells count="50">
    <mergeCell ref="X63:X64"/>
    <mergeCell ref="W71:Z73"/>
    <mergeCell ref="W70:Z70"/>
    <mergeCell ref="W62:Y62"/>
    <mergeCell ref="W58:Y58"/>
    <mergeCell ref="W66:Y66"/>
    <mergeCell ref="W59:W60"/>
    <mergeCell ref="Y59:Y60"/>
    <mergeCell ref="Z59:Z60"/>
    <mergeCell ref="Z63:Z64"/>
    <mergeCell ref="Z67:Z68"/>
    <mergeCell ref="Y67:Y68"/>
    <mergeCell ref="W67:W68"/>
    <mergeCell ref="W63:W64"/>
    <mergeCell ref="Y63:Y64"/>
    <mergeCell ref="X67:X68"/>
    <mergeCell ref="C3:K3"/>
    <mergeCell ref="O3:AA3"/>
    <mergeCell ref="I5:J5"/>
    <mergeCell ref="D5:E5"/>
    <mergeCell ref="C12:K12"/>
    <mergeCell ref="C55:K55"/>
    <mergeCell ref="AF5:AH5"/>
    <mergeCell ref="AI5:AP5"/>
    <mergeCell ref="O56:T56"/>
    <mergeCell ref="V56:AA56"/>
    <mergeCell ref="O36:T36"/>
    <mergeCell ref="C34:K34"/>
    <mergeCell ref="O34:T34"/>
    <mergeCell ref="V34:AA34"/>
    <mergeCell ref="X41:AA41"/>
    <mergeCell ref="X43:AA43"/>
    <mergeCell ref="O37:T54"/>
    <mergeCell ref="X40:AA40"/>
    <mergeCell ref="X39:AA39"/>
    <mergeCell ref="AE3:AP3"/>
    <mergeCell ref="X36:AA36"/>
    <mergeCell ref="X37:AA37"/>
    <mergeCell ref="X42:AA42"/>
    <mergeCell ref="X38:AA38"/>
    <mergeCell ref="P68:R69"/>
    <mergeCell ref="S68:S69"/>
    <mergeCell ref="P71:R72"/>
    <mergeCell ref="S71:S72"/>
    <mergeCell ref="P59:R60"/>
    <mergeCell ref="S59:S60"/>
    <mergeCell ref="P62:R63"/>
    <mergeCell ref="S62:S63"/>
    <mergeCell ref="P65:R66"/>
    <mergeCell ref="S65:S66"/>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58</xdr:row>
                    <xdr:rowOff>22860</xdr:rowOff>
                  </from>
                  <to>
                    <xdr:col>23</xdr:col>
                    <xdr:colOff>609600</xdr:colOff>
                    <xdr:row>59</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58</xdr:row>
                    <xdr:rowOff>30480</xdr:rowOff>
                  </from>
                  <to>
                    <xdr:col>23</xdr:col>
                    <xdr:colOff>1226820</xdr:colOff>
                    <xdr:row>59</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62</xdr:row>
                    <xdr:rowOff>22860</xdr:rowOff>
                  </from>
                  <to>
                    <xdr:col>23</xdr:col>
                    <xdr:colOff>609600</xdr:colOff>
                    <xdr:row>63</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62</xdr:row>
                    <xdr:rowOff>30480</xdr:rowOff>
                  </from>
                  <to>
                    <xdr:col>23</xdr:col>
                    <xdr:colOff>1226820</xdr:colOff>
                    <xdr:row>63</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66</xdr:row>
                    <xdr:rowOff>22860</xdr:rowOff>
                  </from>
                  <to>
                    <xdr:col>23</xdr:col>
                    <xdr:colOff>609600</xdr:colOff>
                    <xdr:row>67</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66</xdr:row>
                    <xdr:rowOff>30480</xdr:rowOff>
                  </from>
                  <to>
                    <xdr:col>23</xdr:col>
                    <xdr:colOff>1226820</xdr:colOff>
                    <xdr:row>67</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58</xdr:row>
                    <xdr:rowOff>7620</xdr:rowOff>
                  </from>
                  <to>
                    <xdr:col>18</xdr:col>
                    <xdr:colOff>1150620</xdr:colOff>
                    <xdr:row>60</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61</xdr:row>
                    <xdr:rowOff>7620</xdr:rowOff>
                  </from>
                  <to>
                    <xdr:col>18</xdr:col>
                    <xdr:colOff>1150620</xdr:colOff>
                    <xdr:row>62</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64</xdr:row>
                    <xdr:rowOff>0</xdr:rowOff>
                  </from>
                  <to>
                    <xdr:col>18</xdr:col>
                    <xdr:colOff>1143000</xdr:colOff>
                    <xdr:row>65</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67</xdr:row>
                    <xdr:rowOff>7620</xdr:rowOff>
                  </from>
                  <to>
                    <xdr:col>18</xdr:col>
                    <xdr:colOff>1150620</xdr:colOff>
                    <xdr:row>68</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22860</xdr:colOff>
                    <xdr:row>70</xdr:row>
                    <xdr:rowOff>7620</xdr:rowOff>
                  </from>
                  <to>
                    <xdr:col>18</xdr:col>
                    <xdr:colOff>1143000</xdr:colOff>
                    <xdr:row>71</xdr:row>
                    <xdr:rowOff>274320</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A4AC9-A4D8-4A0F-B7DB-E3C1CC8882C1}">
  <sheetPr codeName="Hoja31"/>
  <dimension ref="A1:BE101"/>
  <sheetViews>
    <sheetView showGridLines="0" topLeftCell="A10" zoomScale="55" zoomScaleNormal="55" workbookViewId="0">
      <selection activeCell="S55" sqref="S55"/>
    </sheetView>
  </sheetViews>
  <sheetFormatPr defaultColWidth="11.109375" defaultRowHeight="14.4" x14ac:dyDescent="0.3"/>
  <cols>
    <col min="1" max="2" width="3.33203125" customWidth="1"/>
    <col min="3" max="19" width="19.6640625" customWidth="1"/>
    <col min="20" max="22" width="4" customWidth="1"/>
    <col min="23" max="25" width="23" customWidth="1"/>
    <col min="26" max="30" width="14.5546875" customWidth="1"/>
    <col min="31"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102" t="s">
        <v>270</v>
      </c>
      <c r="D3" s="1103"/>
      <c r="E3" s="1103"/>
      <c r="F3" s="1103"/>
      <c r="G3" s="1102" t="s">
        <v>229</v>
      </c>
      <c r="H3" s="1104"/>
      <c r="J3" s="1102" t="s">
        <v>667</v>
      </c>
      <c r="K3" s="1103"/>
      <c r="L3" s="1103"/>
      <c r="M3" s="1104"/>
      <c r="N3" s="210"/>
      <c r="O3" s="1102" t="str">
        <f>+E6</f>
        <v>NG Pre-treating</v>
      </c>
      <c r="P3" s="1103"/>
      <c r="Q3" s="1103"/>
      <c r="R3" s="1103"/>
      <c r="S3" s="1104"/>
      <c r="T3" s="105"/>
      <c r="U3" s="124"/>
      <c r="V3" s="112"/>
      <c r="W3" s="1168" t="str">
        <f>+E6&amp;" Diagram"</f>
        <v>NG Pre-treating Diagram</v>
      </c>
      <c r="X3" s="1169"/>
      <c r="Y3" s="1169"/>
      <c r="Z3" s="1169"/>
      <c r="AA3" s="1169"/>
      <c r="AB3" s="1169"/>
      <c r="AC3" s="1169"/>
      <c r="AD3" s="1169"/>
      <c r="AE3" s="1169"/>
      <c r="AF3" s="1169"/>
      <c r="AG3" s="1169"/>
      <c r="AH3" s="1169"/>
      <c r="AI3" s="1169"/>
      <c r="AJ3" s="1169"/>
      <c r="AK3" s="1169"/>
      <c r="AL3" s="1169"/>
      <c r="AM3" s="1169"/>
      <c r="AN3" s="1170"/>
      <c r="AO3" s="113"/>
      <c r="AP3" s="83"/>
      <c r="AQ3" s="241"/>
      <c r="AR3" s="452"/>
    </row>
    <row r="4" spans="1:44" ht="16.2" customHeight="1" x14ac:dyDescent="0.3">
      <c r="A4" s="83"/>
      <c r="B4" s="104"/>
      <c r="C4" s="105"/>
      <c r="D4" s="105"/>
      <c r="E4" s="105"/>
      <c r="F4" s="105"/>
      <c r="G4" s="105"/>
      <c r="H4" s="105"/>
      <c r="I4" s="105"/>
      <c r="J4" s="83"/>
      <c r="K4" s="83"/>
      <c r="L4" s="83"/>
      <c r="M4" s="83"/>
      <c r="N4" s="180"/>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16" t="s">
        <v>265</v>
      </c>
      <c r="E5" s="1117"/>
      <c r="F5" s="105"/>
      <c r="G5" s="1116" t="s">
        <v>267</v>
      </c>
      <c r="H5" s="1117"/>
      <c r="J5" s="1162"/>
      <c r="K5" s="1163"/>
      <c r="L5" s="214" t="s">
        <v>469</v>
      </c>
      <c r="M5" s="500" t="s">
        <v>503</v>
      </c>
      <c r="N5" s="501"/>
      <c r="O5" s="1039" t="s">
        <v>579</v>
      </c>
      <c r="P5" s="1040"/>
      <c r="Q5" s="1040"/>
      <c r="R5" s="1040"/>
      <c r="S5" s="1041"/>
      <c r="T5" s="105"/>
      <c r="U5" s="124"/>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40" t="s">
        <v>495</v>
      </c>
      <c r="D6" s="277" t="s">
        <v>677</v>
      </c>
      <c r="E6" s="548" t="str">
        <f>+'Plant Overview'!V37</f>
        <v>NG Pre-treating</v>
      </c>
      <c r="F6" s="105"/>
      <c r="G6" s="85"/>
      <c r="H6" s="395" t="s">
        <v>262</v>
      </c>
      <c r="J6" s="1164"/>
      <c r="K6" s="1165"/>
      <c r="L6" s="189" t="s">
        <v>470</v>
      </c>
      <c r="M6" s="86" t="s">
        <v>504</v>
      </c>
      <c r="N6" s="501"/>
      <c r="O6" s="1107" t="str">
        <f>+'Plant Overview'!X37</f>
        <v>Desulphurizer, pre-reformer, heat exchange</v>
      </c>
      <c r="P6" s="1108"/>
      <c r="Q6" s="1108"/>
      <c r="R6" s="1108"/>
      <c r="S6" s="1109"/>
      <c r="T6" s="105"/>
      <c r="U6" s="124"/>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41"/>
      <c r="D7" s="277" t="s">
        <v>676</v>
      </c>
      <c r="E7" s="548" t="str">
        <f>+'Plant Overview'!W37</f>
        <v>U-100</v>
      </c>
      <c r="F7" s="105"/>
      <c r="G7" s="96"/>
      <c r="H7" s="395" t="s">
        <v>263</v>
      </c>
      <c r="J7" s="1164"/>
      <c r="K7" s="1165"/>
      <c r="L7" s="214" t="s">
        <v>464</v>
      </c>
      <c r="M7" s="500" t="s">
        <v>502</v>
      </c>
      <c r="N7" s="501"/>
      <c r="O7" s="1110"/>
      <c r="P7" s="1111"/>
      <c r="Q7" s="1111"/>
      <c r="R7" s="1111"/>
      <c r="S7" s="1112"/>
      <c r="T7" s="105"/>
      <c r="U7" s="124"/>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119"/>
      <c r="D8" s="1157" t="s">
        <v>312</v>
      </c>
      <c r="E8" s="1159" t="s">
        <v>418</v>
      </c>
      <c r="F8" s="105"/>
      <c r="G8" s="95"/>
      <c r="H8" s="724" t="s">
        <v>264</v>
      </c>
      <c r="J8" s="1164"/>
      <c r="K8" s="1165"/>
      <c r="L8" s="214" t="s">
        <v>465</v>
      </c>
      <c r="M8" s="500" t="s">
        <v>500</v>
      </c>
      <c r="N8" s="501"/>
      <c r="O8" s="1110"/>
      <c r="P8" s="1111"/>
      <c r="Q8" s="1111"/>
      <c r="R8" s="1111"/>
      <c r="S8" s="1112"/>
      <c r="T8" s="105"/>
      <c r="U8" s="124"/>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120"/>
      <c r="D9" s="1158"/>
      <c r="E9" s="1160"/>
      <c r="F9" s="105"/>
      <c r="G9" s="110"/>
      <c r="H9" s="726" t="s">
        <v>268</v>
      </c>
      <c r="J9" s="1166"/>
      <c r="K9" s="1167"/>
      <c r="L9" s="214" t="s">
        <v>466</v>
      </c>
      <c r="M9" s="500" t="s">
        <v>501</v>
      </c>
      <c r="N9" s="501"/>
      <c r="O9" s="1113"/>
      <c r="P9" s="1114"/>
      <c r="Q9" s="1114"/>
      <c r="R9" s="1114"/>
      <c r="S9" s="1115"/>
      <c r="T9" s="105"/>
      <c r="U9" s="124"/>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102" t="s">
        <v>571</v>
      </c>
      <c r="E11" s="1103"/>
      <c r="F11" s="1103"/>
      <c r="G11" s="1103"/>
      <c r="H11" s="1103"/>
      <c r="I11" s="1103"/>
      <c r="J11" s="1103"/>
      <c r="K11" s="1103"/>
      <c r="L11" s="1104"/>
      <c r="M11" s="1102" t="s">
        <v>580</v>
      </c>
      <c r="N11" s="1103"/>
      <c r="O11" s="1103"/>
      <c r="P11" s="1103"/>
      <c r="Q11" s="1103"/>
      <c r="R11" s="1104"/>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727" t="s">
        <v>239</v>
      </c>
      <c r="D12" s="741" t="s">
        <v>229</v>
      </c>
      <c r="E12" s="741" t="s">
        <v>348</v>
      </c>
      <c r="F12" s="540" t="s">
        <v>234</v>
      </c>
      <c r="G12" s="540" t="s">
        <v>475</v>
      </c>
      <c r="H12" s="541" t="s">
        <v>235</v>
      </c>
      <c r="I12" s="741" t="s">
        <v>236</v>
      </c>
      <c r="J12" s="730" t="s">
        <v>341</v>
      </c>
      <c r="K12" s="540" t="s">
        <v>340</v>
      </c>
      <c r="L12" s="540" t="s">
        <v>534</v>
      </c>
      <c r="M12" s="589" t="s">
        <v>230</v>
      </c>
      <c r="N12" s="589" t="s">
        <v>231</v>
      </c>
      <c r="O12" s="589" t="s">
        <v>232</v>
      </c>
      <c r="P12" s="589" t="s">
        <v>225</v>
      </c>
      <c r="Q12" s="589" t="s">
        <v>233</v>
      </c>
      <c r="R12" s="542" t="s">
        <v>266</v>
      </c>
      <c r="S12" s="589" t="s">
        <v>659</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39" t="s">
        <v>939</v>
      </c>
      <c r="D13" s="267" t="s">
        <v>252</v>
      </c>
      <c r="E13" s="267" t="s">
        <v>117</v>
      </c>
      <c r="F13" s="392">
        <f>+X39*1000/3600/AD39</f>
        <v>691.55883312810329</v>
      </c>
      <c r="G13" s="858">
        <f>+AB39</f>
        <v>33.6</v>
      </c>
      <c r="H13" s="858" t="s">
        <v>352</v>
      </c>
      <c r="I13" s="858" t="s">
        <v>560</v>
      </c>
      <c r="J13" s="858" t="str">
        <f>+IF(F13&gt;'Equipment Data'!$L$126,"yes","No")</f>
        <v>No</v>
      </c>
      <c r="K13" s="858">
        <v>0.67</v>
      </c>
      <c r="L13" s="858" t="s">
        <v>529</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60533.00497456373</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1.1365613329501367</v>
      </c>
      <c r="O13" s="858">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6.7806686486634291</v>
      </c>
      <c r="Q13" s="169">
        <f t="shared" ref="Q13:Q16" si="0">+M13*P13</f>
        <v>410454.24904041167</v>
      </c>
      <c r="R13" s="502">
        <v>1</v>
      </c>
      <c r="S13" s="223">
        <f>+IF(Tabla25879012013562[[#This Row],[Equipment]]="","",Q13*R13/10^6)</f>
        <v>0.41045424904041167</v>
      </c>
      <c r="T13" s="946">
        <f ca="1">+S13*$S$53/$R$53</f>
        <v>0.65466567897924144</v>
      </c>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440" t="s">
        <v>940</v>
      </c>
      <c r="D14" s="267" t="s">
        <v>252</v>
      </c>
      <c r="E14" s="267" t="s">
        <v>117</v>
      </c>
      <c r="F14" s="392">
        <f t="shared" ref="F14:F16" si="1">+X40*1000/3600/AD40</f>
        <v>185.66863118330858</v>
      </c>
      <c r="G14" s="858">
        <f t="shared" ref="G14:G16" si="2">+AB40</f>
        <v>33.6</v>
      </c>
      <c r="H14" s="858" t="s">
        <v>352</v>
      </c>
      <c r="I14" s="858" t="s">
        <v>560</v>
      </c>
      <c r="J14" s="858" t="str">
        <f>+IF(F14&gt;'Equipment Data'!$L$126,"yes","No")</f>
        <v>No</v>
      </c>
      <c r="K14" s="858">
        <v>0.67</v>
      </c>
      <c r="L14" s="858" t="s">
        <v>529</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30082.958462543334</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1.1365613329501367</v>
      </c>
      <c r="O14" s="858">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6.7806686486634291</v>
      </c>
      <c r="Q14" s="169">
        <f t="shared" si="0"/>
        <v>203982.57330601179</v>
      </c>
      <c r="R14" s="503">
        <v>1</v>
      </c>
      <c r="S14" s="217">
        <f>+IF(Tabla25879012013562[[#This Row],[Equipment]]="","",Q14*R14/10^6)</f>
        <v>0.2039825733060118</v>
      </c>
      <c r="T14" s="946">
        <f t="shared" ref="T14:T17" ca="1" si="3">+S14*$S$53/$R$53</f>
        <v>0.32534780713200817</v>
      </c>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440" t="s">
        <v>941</v>
      </c>
      <c r="D15" s="267" t="s">
        <v>252</v>
      </c>
      <c r="E15" s="267" t="s">
        <v>117</v>
      </c>
      <c r="F15" s="392">
        <f t="shared" si="1"/>
        <v>232.22195072639542</v>
      </c>
      <c r="G15" s="858">
        <f t="shared" si="2"/>
        <v>33.6</v>
      </c>
      <c r="H15" s="858" t="s">
        <v>352</v>
      </c>
      <c r="I15" s="858" t="s">
        <v>561</v>
      </c>
      <c r="J15" s="858" t="str">
        <f>+IF(F15&gt;'Equipment Data'!$L$126,"yes","No")</f>
        <v>No</v>
      </c>
      <c r="K15" s="858">
        <v>0.67</v>
      </c>
      <c r="L15" s="858" t="s">
        <v>529</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33301.402789485182</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1.1365613329501367</v>
      </c>
      <c r="O15" s="858">
        <f>+IF(I15="CS/CS",'Equipment Data'!$C$149,IF(I15="CS/Cu",'Equipment Data'!$D$149,IF(I15="Cu/Cu",'Equipment Data'!$E$149,IF(I15="CS/SS",'Equipment Data'!$F$149,IF(I15="SS/SS",'Equipment Data'!$G$149,IF(I15="CS/Ni",'Equipment Data'!$H$149,IF(I15="Ni/Ni",'Equipment Data'!$I$149,IF(I15="CS/Ti",'Equipment Data'!$J$149,IF(I15="Ti/Ti",'Equipment Data'!$K$149,"N/A")))))))))</f>
        <v>3.73</v>
      </c>
      <c r="P15" s="168">
        <f>+'Equipment Data'!$I$126+'Equipment Data'!$J$126*N15*O15</f>
        <v>8.6673604613606567</v>
      </c>
      <c r="Q15" s="169">
        <f t="shared" si="0"/>
        <v>288635.26184542937</v>
      </c>
      <c r="R15" s="503">
        <v>1</v>
      </c>
      <c r="S15" s="217">
        <f>+IF(Tabla25879012013562[[#This Row],[Equipment]]="","",Q15*R15/10^6)</f>
        <v>0.28863526184542937</v>
      </c>
      <c r="T15" s="946">
        <f t="shared" ca="1" si="3"/>
        <v>0.46036702047829198</v>
      </c>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440" t="s">
        <v>945</v>
      </c>
      <c r="D16" s="267" t="s">
        <v>252</v>
      </c>
      <c r="E16" s="267" t="s">
        <v>117</v>
      </c>
      <c r="F16" s="392">
        <f t="shared" si="1"/>
        <v>689.89615853486134</v>
      </c>
      <c r="G16" s="858">
        <f t="shared" si="2"/>
        <v>33.6</v>
      </c>
      <c r="H16" s="858" t="s">
        <v>352</v>
      </c>
      <c r="I16" s="858" t="s">
        <v>561</v>
      </c>
      <c r="J16" s="858" t="str">
        <f>+IF(F16&gt;'Equipment Data'!$L$126,"yes","No")</f>
        <v>No</v>
      </c>
      <c r="K16" s="858">
        <v>0.67</v>
      </c>
      <c r="L16" s="858" t="s">
        <v>529</v>
      </c>
      <c r="M16" s="172">
        <f>+IF(AND(D16="Heat Exchanger",E16="Fixed tube, sheet, or U tube"),IF(F16&lt;'Equipment Data'!$L$126,10^('Equipment Data'!$C$126+'Equipment Data'!$D$126*LOG10(F16)+'Equipment Data'!$E$126*LOG10(F16)*LOG10(F16)),10^('Equipment Data'!$C$126+'Equipment Data'!$D$126*LOG10('Equipment Data'!$L$126)+'Equipment Data'!$E$126*LOG10('Equipment Data'!$L$126)*LOG10('Equipment Data'!$L$126))*(F16/'Equipment Data'!$L$126)^K16),"N/A")</f>
        <v>60442.020622216121</v>
      </c>
      <c r="N16" s="168">
        <f>+IF(L16="","Input: shell and tube / tube only",IF(L16="shell and tube",IF(G16-1&gt;5,10^('Equipment Data'!$F$126+'Equipment Data'!$G$126*LOG10(G16-1.01325)+'Equipment Data'!$H$126*LOG10(G16-1.01325)*LOG10(G16-1.01325)),1),IF(G16-1.01325&gt;5,10^('Equipment Data'!$F$127+'Equipment Data'!$G$127*LOG10(G16-1.01325)+'Equipment Data'!$H$127*LOG10(G16-1.01325)*LOG10(G16-1.01325)),1)))</f>
        <v>1.1365613329501367</v>
      </c>
      <c r="O16" s="858">
        <f>+IF(I16="CS/CS",'Equipment Data'!$C$149,IF(I16="CS/Cu",'Equipment Data'!$D$149,IF(I16="Cu/Cu",'Equipment Data'!$E$149,IF(I16="CS/SS",'Equipment Data'!$F$149,IF(I16="SS/SS",'Equipment Data'!$G$149,IF(I16="CS/Ni",'Equipment Data'!$H$149,IF(I16="Ni/Ni",'Equipment Data'!$I$149,IF(I16="CS/Ti",'Equipment Data'!$J$149,IF(I16="Ti/Ti",'Equipment Data'!$K$149,"N/A")))))))))</f>
        <v>3.73</v>
      </c>
      <c r="P16" s="168">
        <f>+'Equipment Data'!$I$126+'Equipment Data'!$J$126*N16*O16</f>
        <v>8.6673604613606567</v>
      </c>
      <c r="Q16" s="169">
        <f t="shared" si="0"/>
        <v>523872.77974574146</v>
      </c>
      <c r="R16" s="503">
        <v>1</v>
      </c>
      <c r="S16" s="217">
        <f>+IF(Tabla25879012013562[[#This Row],[Equipment]]="","",Q16*R16/10^6)</f>
        <v>0.52387277974574142</v>
      </c>
      <c r="T16" s="946">
        <f t="shared" ca="1" si="3"/>
        <v>0.83556579046943136</v>
      </c>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440" t="s">
        <v>942</v>
      </c>
      <c r="D17" s="267" t="s">
        <v>269</v>
      </c>
      <c r="E17" s="267" t="s">
        <v>156</v>
      </c>
      <c r="F17" s="858">
        <f>1000*0.01503</f>
        <v>15.03</v>
      </c>
      <c r="G17" s="858">
        <v>37</v>
      </c>
      <c r="H17" s="858" t="s">
        <v>473</v>
      </c>
      <c r="I17" s="858" t="s">
        <v>85</v>
      </c>
      <c r="J17" s="858" t="str">
        <f>+IF(F17&gt;'Equipment Data'!$S$179,"yes","No")</f>
        <v>No</v>
      </c>
      <c r="K17" s="858">
        <v>0.67</v>
      </c>
      <c r="L17" s="858" t="s">
        <v>354</v>
      </c>
      <c r="M17" s="172">
        <f>+IF(AND(D17="Pump",E17="Centrifugal pump"),IF(F17&lt;'Equipment Data'!$S$179,10^('Equipment Data'!$C$179+'Equipment Data'!$D$179*LOG10(F17)+'Equipment Data'!$E$179*LOG10(F17)*LOG10(F17)),10^('Equipment Data'!$C$179+'Equipment Data'!$D$179*LOG10('Equipment Data'!$S$179)+'Equipment Data'!$E$179*LOG10('Equipment Data'!$S$179)*LOG10('Equipment Data'!$S$179))*(F17/'Equipment Data'!$S$179)^K17),"N/A")</f>
        <v>4627.3649312942489</v>
      </c>
      <c r="N17" s="392">
        <f>+IF(G17-1.01325&gt;10,10^('Equipment Data'!$F$179+'Equipment Data'!$G$179*LOG10(G17-1.01325)+'Equipment Data'!$H$179*LOG10(G17-1.01325)*LOG10(G17-1.01325)),1)</f>
        <v>1.6473765018612709</v>
      </c>
      <c r="O17" s="858">
        <f>+IF(I17="Cl",'Equipment Data'!$K$179,IF(I17="CS",'Equipment Data'!$L$179,IF(I17="Cu",'Equipment Data'!$M$179,IF(I17="SS",'Equipment Data'!$N$179,IF(I17="Ni",'Equipment Data'!$O$179,IF(I17="Ti",'Equipment Data'!$P$179,"N/A"))))))</f>
        <v>1.55</v>
      </c>
      <c r="P17" s="392">
        <f>+'Equipment Data'!$I$179+'Equipment Data'!$J$179*O17*N17</f>
        <v>5.3371353301447098</v>
      </c>
      <c r="Q17" s="169">
        <f>+P17*M17</f>
        <v>24696.872860283183</v>
      </c>
      <c r="R17" s="503">
        <v>2</v>
      </c>
      <c r="S17" s="217">
        <f>+IF(Tabla25879012013562[[#This Row],[Equipment]]="","",Q17*R17/10^6)</f>
        <v>4.9393745720566366E-2</v>
      </c>
      <c r="T17" s="946">
        <f t="shared" ca="1" si="3"/>
        <v>7.8781959633944174E-2</v>
      </c>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IF(Tabla27889112113663[[#This Row],[Subtype]]="","",VLOOKUP(Tabla27889112113663[[#This Row],[Subtype]],'Unit-X00 Equipment'!$E$13:$H$107,4,FALSE))</f>
        <v/>
      </c>
      <c r="I18" s="720"/>
      <c r="J18" s="720"/>
      <c r="K18" s="720"/>
      <c r="L18" s="392"/>
      <c r="M18" s="269"/>
      <c r="N18" s="392"/>
      <c r="O18" s="392"/>
      <c r="P18" s="392"/>
      <c r="Q18" s="392"/>
      <c r="R18" s="503"/>
      <c r="S18" s="217" t="str">
        <f>+IF(Tabla25879012013562[[#This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IF(Tabla27889112113663[[#This Row],[Subtype]]="","",VLOOKUP(Tabla27889112113663[[#This Row],[Subtype]],'Unit-X00 Equipment'!$E$13:$H$107,4,FALSE))</f>
        <v/>
      </c>
      <c r="I19" s="720"/>
      <c r="J19" s="720"/>
      <c r="K19" s="720"/>
      <c r="L19" s="392"/>
      <c r="M19" s="269"/>
      <c r="N19" s="392"/>
      <c r="O19" s="392"/>
      <c r="P19" s="392"/>
      <c r="Q19" s="392"/>
      <c r="R19" s="503"/>
      <c r="S19" s="217" t="str">
        <f>+IF(Tabla25879012013562[[#This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IF(Tabla27889112113663[[#This Row],[Subtype]]="","",VLOOKUP(Tabla27889112113663[[#This Row],[Subtype]],'Unit-X00 Equipment'!$E$13:$H$107,4,FALSE))</f>
        <v/>
      </c>
      <c r="I20" s="720"/>
      <c r="J20" s="720"/>
      <c r="K20" s="720"/>
      <c r="L20" s="720"/>
      <c r="M20" s="269"/>
      <c r="N20" s="392"/>
      <c r="O20" s="392"/>
      <c r="P20" s="392"/>
      <c r="Q20" s="392"/>
      <c r="R20" s="503"/>
      <c r="S20" s="217" t="str">
        <f>+IF(Tabla25879012013562[[#This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IF(Tabla27889112113663[[#This Row],[Subtype]]="","",VLOOKUP(Tabla27889112113663[[#This Row],[Subtype]],'Unit-X00 Equipment'!$E$13:$H$107,4,FALSE))</f>
        <v/>
      </c>
      <c r="I21" s="720"/>
      <c r="J21" s="720"/>
      <c r="K21" s="720"/>
      <c r="L21" s="720"/>
      <c r="M21" s="269"/>
      <c r="N21" s="392"/>
      <c r="O21" s="392"/>
      <c r="P21" s="392"/>
      <c r="Q21" s="392"/>
      <c r="R21" s="503"/>
      <c r="S21" s="217" t="str">
        <f>+IF(Tabla25879012013562[[#This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IF(Tabla27889112113663[[#This Row],[Subtype]]="","",VLOOKUP(Tabla27889112113663[[#This Row],[Subtype]],'Unit-X00 Equipment'!$E$13:$H$107,4,FALSE))</f>
        <v/>
      </c>
      <c r="I22" s="720"/>
      <c r="J22" s="720"/>
      <c r="K22" s="720"/>
      <c r="L22" s="720"/>
      <c r="M22" s="269"/>
      <c r="N22" s="392"/>
      <c r="O22" s="392"/>
      <c r="P22" s="392"/>
      <c r="Q22" s="392"/>
      <c r="R22" s="503"/>
      <c r="S22" s="217" t="str">
        <f>+IF(Tabla25879012013562[[#This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720"/>
      <c r="H23" s="512" t="str">
        <f>IF(Tabla27889112113663[[#This Row],[Subtype]]="","",VLOOKUP(Tabla27889112113663[[#This Row],[Subtype]],'Unit-X00 Equipment'!$E$13:$H$107,4,FALSE))</f>
        <v/>
      </c>
      <c r="I23" s="720"/>
      <c r="J23" s="720"/>
      <c r="K23" s="720"/>
      <c r="L23" s="720"/>
      <c r="M23" s="269"/>
      <c r="N23" s="392"/>
      <c r="O23" s="392"/>
      <c r="P23" s="392"/>
      <c r="Q23" s="392"/>
      <c r="R23" s="503"/>
      <c r="S23" s="217" t="str">
        <f>+IF(Tabla25879012013562[[#This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IF(Tabla27889112113663[[#This Row],[Subtype]]="","",VLOOKUP(Tabla27889112113663[[#This Row],[Subtype]],'Unit-X00 Equipment'!$E$13:$H$107,4,FALSE))</f>
        <v/>
      </c>
      <c r="I24" s="720"/>
      <c r="J24" s="720"/>
      <c r="K24" s="720"/>
      <c r="L24" s="720"/>
      <c r="M24" s="269"/>
      <c r="N24" s="392"/>
      <c r="O24" s="392"/>
      <c r="P24" s="392"/>
      <c r="Q24" s="392"/>
      <c r="R24" s="503"/>
      <c r="S24" s="217" t="str">
        <f>+IF(Tabla25879012013562[[#This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IF(Tabla27889112113663[[#This Row],[Subtype]]="","",VLOOKUP(Tabla27889112113663[[#This Row],[Subtype]],'Unit-X00 Equipment'!$E$13:$H$107,4,FALSE))</f>
        <v/>
      </c>
      <c r="I25" s="720"/>
      <c r="J25" s="720"/>
      <c r="K25" s="720"/>
      <c r="L25" s="720"/>
      <c r="M25" s="269"/>
      <c r="N25" s="392"/>
      <c r="O25" s="392"/>
      <c r="P25" s="392"/>
      <c r="Q25" s="392"/>
      <c r="R25" s="503"/>
      <c r="S25" s="217" t="str">
        <f>+IF(Tabla25879012013562[[#This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IF(Tabla27889112113663[[#This Row],[Subtype]]="","",VLOOKUP(Tabla27889112113663[[#This Row],[Subtype]],'Unit-X00 Equipment'!$E$13:$H$107,4,FALSE))</f>
        <v/>
      </c>
      <c r="I26" s="720"/>
      <c r="J26" s="720"/>
      <c r="K26" s="720"/>
      <c r="L26" s="720"/>
      <c r="M26" s="269"/>
      <c r="N26" s="392"/>
      <c r="O26" s="392"/>
      <c r="P26" s="392"/>
      <c r="Q26" s="392"/>
      <c r="R26" s="503"/>
      <c r="S26" s="217" t="str">
        <f>+IF(Tabla25879012013562[[#This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IF(Tabla27889112113663[[#This Row],[Subtype]]="","",VLOOKUP(Tabla27889112113663[[#This Row],[Subtype]],'Unit-X00 Equipment'!$E$13:$H$107,4,FALSE))</f>
        <v/>
      </c>
      <c r="I27" s="720"/>
      <c r="J27" s="720"/>
      <c r="K27" s="720"/>
      <c r="L27" s="720"/>
      <c r="M27" s="269"/>
      <c r="N27" s="392"/>
      <c r="O27" s="392"/>
      <c r="P27" s="392"/>
      <c r="Q27" s="392"/>
      <c r="R27" s="503"/>
      <c r="S27" s="217" t="str">
        <f>+IF(Tabla25879012013562[[#This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IF(Tabla27889112113663[[#This Row],[Subtype]]="","",VLOOKUP(Tabla27889112113663[[#This Row],[Subtype]],'Unit-X00 Equipment'!$E$13:$H$107,4,FALSE))</f>
        <v/>
      </c>
      <c r="I28" s="720"/>
      <c r="J28" s="720"/>
      <c r="K28" s="720"/>
      <c r="L28" s="720"/>
      <c r="M28" s="269"/>
      <c r="N28" s="392"/>
      <c r="O28" s="392"/>
      <c r="P28" s="392"/>
      <c r="Q28" s="392"/>
      <c r="R28" s="503"/>
      <c r="S28" s="217" t="str">
        <f>+IF(Tabla25879012013562[[#This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IF(Tabla27889112113663[[#This Row],[Subtype]]="","",VLOOKUP(Tabla27889112113663[[#This Row],[Subtype]],'Unit-X00 Equipment'!$E$13:$H$107,4,FALSE))</f>
        <v/>
      </c>
      <c r="I29" s="720"/>
      <c r="J29" s="720"/>
      <c r="K29" s="720"/>
      <c r="L29" s="720"/>
      <c r="M29" s="269"/>
      <c r="N29" s="392"/>
      <c r="O29" s="392"/>
      <c r="P29" s="392"/>
      <c r="Q29" s="392"/>
      <c r="R29" s="503"/>
      <c r="S29" s="217" t="str">
        <f>+IF(Tabla25879012013562[[#This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IF(Tabla27889112113663[[#This Row],[Subtype]]="","",VLOOKUP(Tabla27889112113663[[#This Row],[Subtype]],'Unit-X00 Equipment'!$E$13:$H$107,4,FALSE))</f>
        <v/>
      </c>
      <c r="I30" s="720"/>
      <c r="J30" s="720"/>
      <c r="K30" s="720"/>
      <c r="L30" s="720"/>
      <c r="M30" s="269"/>
      <c r="N30" s="392"/>
      <c r="O30" s="392"/>
      <c r="P30" s="392"/>
      <c r="Q30" s="392"/>
      <c r="R30" s="503"/>
      <c r="S30" s="217" t="str">
        <f>+IF(Tabla25879012013562[[#This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IF(Tabla27889112113663[[#This Row],[Subtype]]="","",VLOOKUP(Tabla27889112113663[[#This Row],[Subtype]],'Unit-X00 Equipment'!$E$13:$H$107,4,FALSE))</f>
        <v/>
      </c>
      <c r="I31" s="720"/>
      <c r="J31" s="720"/>
      <c r="K31" s="720"/>
      <c r="L31" s="720"/>
      <c r="M31" s="269"/>
      <c r="N31" s="392"/>
      <c r="O31" s="392"/>
      <c r="P31" s="392"/>
      <c r="Q31" s="392"/>
      <c r="R31" s="503"/>
      <c r="S31" s="217" t="str">
        <f>+IF(Tabla25879012013562[[#This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IF(Tabla27889112113663[[#This Row],[Subtype]]="","",VLOOKUP(Tabla27889112113663[[#This Row],[Subtype]],'Unit-X00 Equipment'!$E$13:$H$107,4,FALSE))</f>
        <v/>
      </c>
      <c r="I32" s="720"/>
      <c r="J32" s="720"/>
      <c r="K32" s="720"/>
      <c r="L32" s="720"/>
      <c r="M32" s="172"/>
      <c r="N32" s="720"/>
      <c r="O32" s="720"/>
      <c r="P32" s="168"/>
      <c r="Q32" s="169"/>
      <c r="R32" s="503"/>
      <c r="S32" s="217" t="str">
        <f>+IF(Tabla25879012013562[[#This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IF(Tabla27889112113663[[#This Row],[Subtype]]="","",VLOOKUP(Tabla27889112113663[[#This Row],[Subtype]],'Unit-X00 Equipment'!$E$13:$H$107,4,FALSE))</f>
        <v/>
      </c>
      <c r="I33" s="720"/>
      <c r="J33" s="720"/>
      <c r="K33" s="720"/>
      <c r="L33" s="720"/>
      <c r="M33" s="172"/>
      <c r="N33" s="720"/>
      <c r="O33" s="720"/>
      <c r="P33" s="392"/>
      <c r="Q33" s="169"/>
      <c r="R33" s="503"/>
      <c r="S33" s="217" t="str">
        <f>+IF(Tabla25879012013562[[#This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IF(Tabla27889112113663[[#This Row],[Subtype]]="","",VLOOKUP(Tabla27889112113663[[#This Row],[Subtype]],'Unit-X00 Equipment'!$E$13:$H$107,4,FALSE))</f>
        <v/>
      </c>
      <c r="I34" s="720"/>
      <c r="J34" s="720"/>
      <c r="K34" s="720"/>
      <c r="L34" s="720"/>
      <c r="M34" s="172"/>
      <c r="N34" s="720"/>
      <c r="O34" s="720"/>
      <c r="P34" s="720"/>
      <c r="Q34" s="169"/>
      <c r="R34" s="503"/>
      <c r="S34" s="217" t="str">
        <f>+IF(Tabla25879012013562[[#This Row],[Equipment]]="","",Q34*R34/10^6)</f>
        <v/>
      </c>
      <c r="T34" s="106"/>
      <c r="U34" s="105"/>
      <c r="V34" s="116"/>
      <c r="W34" s="1096" t="str">
        <f>+E6&amp;" Calculations"</f>
        <v>NG Pre-treating Calculations</v>
      </c>
      <c r="X34" s="1097"/>
      <c r="Y34" s="1097"/>
      <c r="Z34" s="1097"/>
      <c r="AA34" s="1097"/>
      <c r="AB34" s="1097"/>
      <c r="AC34" s="1097"/>
      <c r="AD34" s="1097"/>
      <c r="AE34" s="1097"/>
      <c r="AF34" s="1097"/>
      <c r="AG34" s="1097"/>
      <c r="AH34" s="1097"/>
      <c r="AI34" s="1097"/>
      <c r="AJ34" s="1097"/>
      <c r="AK34" s="1097"/>
      <c r="AL34" s="1097"/>
      <c r="AM34" s="1097"/>
      <c r="AN34" s="1098"/>
      <c r="AO34" s="113"/>
      <c r="AP34" s="105"/>
      <c r="AQ34" s="241"/>
      <c r="AR34" s="452"/>
    </row>
    <row r="35" spans="1:44" ht="16.2" customHeight="1" x14ac:dyDescent="0.3">
      <c r="A35" s="83"/>
      <c r="B35" s="104"/>
      <c r="C35" s="440"/>
      <c r="D35" s="233"/>
      <c r="E35" s="267"/>
      <c r="F35" s="392"/>
      <c r="G35" s="392"/>
      <c r="H35" s="512" t="str">
        <f>IF(Tabla27889112113663[[#This Row],[Subtype]]="","",VLOOKUP(Tabla27889112113663[[#This Row],[Subtype]],'Unit-X00 Equipment'!$E$13:$H$107,4,FALSE))</f>
        <v/>
      </c>
      <c r="I35" s="720"/>
      <c r="J35" s="720"/>
      <c r="K35" s="720"/>
      <c r="L35" s="720"/>
      <c r="M35" s="172"/>
      <c r="N35" s="720"/>
      <c r="O35" s="720"/>
      <c r="P35" s="720"/>
      <c r="Q35" s="169"/>
      <c r="R35" s="503"/>
      <c r="S35" s="217" t="str">
        <f>+IF(Tabla25879012013562[[#This Row],[Equipment]]="","",Q35*R35/10^6)</f>
        <v/>
      </c>
      <c r="T35" s="106"/>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IF(Tabla27889112113663[[#This Row],[Subtype]]="","",VLOOKUP(Tabla27889112113663[[#This Row],[Subtype]],'Unit-X00 Equipment'!$E$13:$H$107,4,FALSE))</f>
        <v/>
      </c>
      <c r="I36" s="720"/>
      <c r="J36" s="720"/>
      <c r="K36" s="720"/>
      <c r="L36" s="720"/>
      <c r="M36" s="172"/>
      <c r="N36" s="720"/>
      <c r="O36" s="720"/>
      <c r="P36" s="720"/>
      <c r="Q36" s="169"/>
      <c r="R36" s="503"/>
      <c r="S36" s="217" t="str">
        <f>+IF(Tabla25879012013562[[#This Row],[Equipment]]="","",Q36*R36/10^6)</f>
        <v/>
      </c>
      <c r="T36" s="106"/>
      <c r="U36" s="105"/>
      <c r="V36" s="806"/>
      <c r="W36" s="1150" t="s">
        <v>821</v>
      </c>
      <c r="X36" s="1175"/>
      <c r="Y36" s="1175"/>
      <c r="Z36" s="1175"/>
      <c r="AA36" s="1175"/>
      <c r="AB36" s="1175"/>
      <c r="AC36" s="1175"/>
      <c r="AD36" s="1151"/>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IF(Tabla27889112113663[[#This Row],[Subtype]]="","",VLOOKUP(Tabla27889112113663[[#This Row],[Subtype]],'Unit-X00 Equipment'!$E$13:$H$107,4,FALSE))</f>
        <v/>
      </c>
      <c r="I37" s="720"/>
      <c r="J37" s="720"/>
      <c r="K37" s="720"/>
      <c r="L37" s="720"/>
      <c r="M37" s="172"/>
      <c r="N37" s="720"/>
      <c r="O37" s="720"/>
      <c r="P37" s="720"/>
      <c r="Q37" s="169"/>
      <c r="R37" s="503"/>
      <c r="S37" s="217" t="str">
        <f>+IF(Tabla25879012013562[[#This Row],[Equipment]]="","",Q37*R37/10^6)</f>
        <v/>
      </c>
      <c r="T37" s="106"/>
      <c r="U37" s="105"/>
      <c r="V37" s="806"/>
      <c r="W37" s="1176" t="s">
        <v>822</v>
      </c>
      <c r="X37" s="1093"/>
      <c r="Y37" s="1094"/>
      <c r="Z37" s="1147" t="s">
        <v>823</v>
      </c>
      <c r="AA37" s="1148"/>
      <c r="AB37" s="1147" t="s">
        <v>824</v>
      </c>
      <c r="AC37" s="1149"/>
      <c r="AD37" s="865" t="s">
        <v>825</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IF(Tabla27889112113663[[#This Row],[Subtype]]="","",VLOOKUP(Tabla27889112113663[[#This Row],[Subtype]],'Unit-X00 Equipment'!$E$13:$H$107,4,FALSE))</f>
        <v/>
      </c>
      <c r="I38" s="720"/>
      <c r="J38" s="720"/>
      <c r="K38" s="720"/>
      <c r="L38" s="720"/>
      <c r="M38" s="172"/>
      <c r="N38" s="720"/>
      <c r="O38" s="720"/>
      <c r="P38" s="720"/>
      <c r="Q38" s="169"/>
      <c r="R38" s="503"/>
      <c r="S38" s="217" t="str">
        <f>+IF(Tabla25879012013562[[#This Row],[Equipment]]="","",Q38*R38/10^6)</f>
        <v/>
      </c>
      <c r="T38" s="106"/>
      <c r="U38" s="105"/>
      <c r="V38" s="806"/>
      <c r="W38" s="865" t="s">
        <v>350</v>
      </c>
      <c r="X38" s="865" t="s">
        <v>826</v>
      </c>
      <c r="Y38" s="865" t="s">
        <v>827</v>
      </c>
      <c r="Z38" s="808" t="s">
        <v>828</v>
      </c>
      <c r="AA38" s="808" t="s">
        <v>829</v>
      </c>
      <c r="AB38" s="810" t="s">
        <v>828</v>
      </c>
      <c r="AC38" s="808" t="s">
        <v>829</v>
      </c>
      <c r="AD38" s="186" t="s">
        <v>830</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268"/>
      <c r="F39" s="165"/>
      <c r="G39" s="165"/>
      <c r="H39" s="512" t="str">
        <f>IF(Tabla27889112113663[[#This Row],[Subtype]]="","",VLOOKUP(Tabla27889112113663[[#This Row],[Subtype]],'Unit-X00 Equipment'!$E$13:$H$107,4,FALSE))</f>
        <v/>
      </c>
      <c r="L39" s="92"/>
      <c r="M39" s="270"/>
      <c r="N39" s="92"/>
      <c r="O39" s="92"/>
      <c r="P39" s="92"/>
      <c r="Q39" s="271"/>
      <c r="R39" s="504"/>
      <c r="S39" s="217" t="str">
        <f>+IF(Tabla25879012013562[[#This Row],[Equipment]]="","",Q39*R39/10^6)</f>
        <v/>
      </c>
      <c r="T39" s="106"/>
      <c r="U39" s="105"/>
      <c r="V39" s="806"/>
      <c r="W39" s="865" t="str">
        <f>+C13</f>
        <v>HEX-101</v>
      </c>
      <c r="X39" s="865">
        <v>1065980.0451776499</v>
      </c>
      <c r="Y39" s="871" t="s">
        <v>831</v>
      </c>
      <c r="Z39" s="671" t="s">
        <v>832</v>
      </c>
      <c r="AA39" s="814">
        <f t="shared" ref="AA39" si="4">IF(Z39="Ph. Ch.",$Y$52,IF(Z39="Liquid",$Y$51,$Y$49*Z39^$Y$50))</f>
        <v>5000</v>
      </c>
      <c r="AB39" s="809">
        <v>33.6</v>
      </c>
      <c r="AC39" s="815">
        <f t="shared" ref="AC39" si="5">IF(AB39="Ph. Ch.",$Y$52,IF(AB39="Liquid",$Y$51,$Y$49*AB39^$Y$50))</f>
        <v>468.27124014633029</v>
      </c>
      <c r="AD39" s="816">
        <f>1/(1/AA39+1/AC39)</f>
        <v>428.171189377394</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268"/>
      <c r="F40" s="165"/>
      <c r="G40" s="165"/>
      <c r="H40" s="512" t="str">
        <f>IF(Tabla27889112113663[[#This Row],[Subtype]]="","",VLOOKUP(Tabla27889112113663[[#This Row],[Subtype]],'Unit-X00 Equipment'!$E$13:$H$107,4,FALSE))</f>
        <v/>
      </c>
      <c r="L40" s="92"/>
      <c r="M40" s="270"/>
      <c r="N40" s="92"/>
      <c r="O40" s="92"/>
      <c r="P40" s="92"/>
      <c r="Q40" s="271"/>
      <c r="R40" s="504"/>
      <c r="S40" s="217" t="str">
        <f>+IF(Tabla25879012013562[[#This Row],[Equipment]]="","",Q40*R40/10^6)</f>
        <v/>
      </c>
      <c r="T40" s="106"/>
      <c r="U40" s="105"/>
      <c r="V40" s="806"/>
      <c r="W40" s="865" t="str">
        <f t="shared" ref="W40:W42" si="6">+C14</f>
        <v>HEX-102</v>
      </c>
      <c r="X40" s="865">
        <v>153825.718608653</v>
      </c>
      <c r="Y40" s="871" t="s">
        <v>835</v>
      </c>
      <c r="Z40" s="867">
        <v>32</v>
      </c>
      <c r="AA40" s="812">
        <f t="shared" ref="AA40:AA42" si="7">IF(Z40="Ph. Ch.",$Y$52,IF(Z40="Liquid",$Y$51,$Y$49*Z40^$Y$50))</f>
        <v>452.54833995939038</v>
      </c>
      <c r="AB40" s="862">
        <v>33.6</v>
      </c>
      <c r="AC40" s="813">
        <f t="shared" ref="AC40:AC42" si="8">IF(AB40="Ph. Ch.",$Y$52,IF(AB40="Liquid",$Y$51,$Y$49*AB40^$Y$50))</f>
        <v>468.27124014633029</v>
      </c>
      <c r="AD40" s="817">
        <f>1/(1/AA40+1/AC40)</f>
        <v>230.13777829812923</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IF(Tabla27889112113663[[#This Row],[Subtype]]="","",VLOOKUP(Tabla27889112113663[[#This Row],[Subtype]],'Unit-X00 Equipment'!$E$13:$H$107,4,FALSE))</f>
        <v/>
      </c>
      <c r="I41" s="720"/>
      <c r="J41" s="720"/>
      <c r="K41" s="720"/>
      <c r="L41" s="720"/>
      <c r="M41" s="172"/>
      <c r="N41" s="720"/>
      <c r="O41" s="720"/>
      <c r="P41" s="168"/>
      <c r="Q41" s="169"/>
      <c r="R41" s="503"/>
      <c r="S41" s="217" t="str">
        <f>+IF(Tabla25879012013562[[#This Row],[Equipment]]="","",Q41*R41/10^6)</f>
        <v/>
      </c>
      <c r="T41" s="106"/>
      <c r="U41" s="105"/>
      <c r="V41" s="806"/>
      <c r="W41" s="865" t="str">
        <f t="shared" si="6"/>
        <v>HEX-103</v>
      </c>
      <c r="X41" s="865">
        <v>192394.95772402899</v>
      </c>
      <c r="Y41" s="871" t="s">
        <v>835</v>
      </c>
      <c r="Z41" s="867">
        <v>32</v>
      </c>
      <c r="AA41" s="812">
        <f t="shared" si="7"/>
        <v>452.54833995939038</v>
      </c>
      <c r="AB41" s="862">
        <f>+AB40</f>
        <v>33.6</v>
      </c>
      <c r="AC41" s="813">
        <f t="shared" si="8"/>
        <v>468.27124014633029</v>
      </c>
      <c r="AD41" s="817">
        <f>1/(1/AA41+1/AC41)</f>
        <v>230.13777829812923</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IF(Tabla27889112113663[[#This Row],[Subtype]]="","",VLOOKUP(Tabla27889112113663[[#This Row],[Subtype]],'Unit-X00 Equipment'!$E$13:$H$107,4,FALSE))</f>
        <v/>
      </c>
      <c r="I42" s="720"/>
      <c r="J42" s="720"/>
      <c r="K42" s="720"/>
      <c r="L42" s="720"/>
      <c r="M42" s="172"/>
      <c r="N42" s="720"/>
      <c r="O42" s="720"/>
      <c r="P42" s="392"/>
      <c r="Q42" s="169"/>
      <c r="R42" s="503"/>
      <c r="S42" s="217" t="str">
        <f>+IF(Tabla25879012013562[[#This Row],[Equipment]]="","",Q42*R42/10^6)</f>
        <v/>
      </c>
      <c r="T42" s="106"/>
      <c r="U42" s="105"/>
      <c r="V42" s="806"/>
      <c r="W42" s="865" t="str">
        <f t="shared" si="6"/>
        <v>HEX-104</v>
      </c>
      <c r="X42" s="865">
        <v>571576.20905385702</v>
      </c>
      <c r="Y42" s="871" t="s">
        <v>835</v>
      </c>
      <c r="Z42" s="868">
        <v>32</v>
      </c>
      <c r="AA42" s="819">
        <f t="shared" si="7"/>
        <v>452.54833995939038</v>
      </c>
      <c r="AB42" s="870">
        <f>+AB41</f>
        <v>33.6</v>
      </c>
      <c r="AC42" s="820">
        <f t="shared" si="8"/>
        <v>468.27124014633029</v>
      </c>
      <c r="AD42" s="840">
        <f>1/(1/AA42+1/AC42)</f>
        <v>230.13777829812923</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IF(Tabla27889112113663[[#This Row],[Subtype]]="","",VLOOKUP(Tabla27889112113663[[#This Row],[Subtype]],'Unit-X00 Equipment'!$E$13:$H$107,4,FALSE))</f>
        <v/>
      </c>
      <c r="I43" s="720"/>
      <c r="J43" s="720"/>
      <c r="K43" s="720"/>
      <c r="L43" s="720"/>
      <c r="M43" s="332"/>
      <c r="N43" s="723"/>
      <c r="O43" s="723"/>
      <c r="P43" s="723"/>
      <c r="Q43" s="333"/>
      <c r="R43" s="505"/>
      <c r="S43" s="217" t="str">
        <f>+IF(Tabla25879012013562[[#This Row],[Equipment]]="","",Q43*R43/10^6)</f>
        <v/>
      </c>
      <c r="T43" s="106"/>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103" t="s">
        <v>536</v>
      </c>
      <c r="E44" s="1103"/>
      <c r="F44" s="1103"/>
      <c r="G44" s="1103"/>
      <c r="H44" s="1103"/>
      <c r="I44" s="1103"/>
      <c r="J44" s="1103"/>
      <c r="K44" s="1103"/>
      <c r="L44" s="1103"/>
      <c r="M44" s="1171"/>
      <c r="N44" s="1171"/>
      <c r="O44" s="1171"/>
      <c r="P44" s="1171"/>
      <c r="Q44" s="1171"/>
      <c r="R44" s="1171"/>
      <c r="S44" s="443"/>
      <c r="T44" s="106"/>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581</v>
      </c>
      <c r="D45" s="538" t="s">
        <v>498</v>
      </c>
      <c r="E45" s="538" t="s">
        <v>497</v>
      </c>
      <c r="F45" s="740" t="s">
        <v>463</v>
      </c>
      <c r="G45" s="740" t="s">
        <v>315</v>
      </c>
      <c r="H45" s="740" t="s">
        <v>508</v>
      </c>
      <c r="I45" s="538" t="s">
        <v>505</v>
      </c>
      <c r="J45" s="538" t="s">
        <v>235</v>
      </c>
      <c r="K45" s="861" t="s">
        <v>465</v>
      </c>
      <c r="L45" s="861" t="s">
        <v>466</v>
      </c>
      <c r="M45" s="589" t="s">
        <v>585</v>
      </c>
      <c r="N45" s="589" t="s">
        <v>468</v>
      </c>
      <c r="O45" s="589" t="s">
        <v>467</v>
      </c>
      <c r="P45" s="538" t="s">
        <v>464</v>
      </c>
      <c r="Q45" s="538" t="s">
        <v>470</v>
      </c>
      <c r="R45" s="589" t="s">
        <v>469</v>
      </c>
      <c r="S45" s="589" t="s">
        <v>496</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439" t="s">
        <v>943</v>
      </c>
      <c r="D46" s="855" t="s">
        <v>771</v>
      </c>
      <c r="E46" s="856" t="s">
        <v>975</v>
      </c>
      <c r="F46" s="383" t="s">
        <v>455</v>
      </c>
      <c r="G46" s="383">
        <v>2008</v>
      </c>
      <c r="H46" s="383" t="s">
        <v>487</v>
      </c>
      <c r="I46" s="856" t="s">
        <v>855</v>
      </c>
      <c r="J46" s="856" t="s">
        <v>733</v>
      </c>
      <c r="K46" s="858">
        <v>1</v>
      </c>
      <c r="L46" s="858">
        <v>0.67</v>
      </c>
      <c r="M46" s="855">
        <v>1</v>
      </c>
      <c r="N46" s="219">
        <v>413.82</v>
      </c>
      <c r="O46" s="222">
        <v>0.66</v>
      </c>
      <c r="P46" s="794">
        <v>1</v>
      </c>
      <c r="Q46" s="219">
        <f>+'Plant Overview'!F58</f>
        <v>128.99100000000001</v>
      </c>
      <c r="R46" s="223">
        <f>IF(ISBLANK(Q46),"",(P46/M46)^K46*O46*((Q46/P46)/(N46/M46))^L46)</f>
        <v>0.30224216453067709</v>
      </c>
      <c r="S46" s="217" cm="1">
        <f t="array" aca="1" ref="S46" ca="1">IF(ISBLANK(Q46),"",IF(R46&gt;0,R46*INDIRECT(ADDRESS(MATCH(G46,'Cost Conversion'!$B$3:$B$48,0)+2,4,1,1,"Cost conversion"))*INDIRECT(ADDRESS(MATCH(H46,'Cost Conversion'!$F$3:$F$22,0)+2,8,1,1,"Cost conversion"))/IF(F46="$",'Cost Conversion'!$L$2,1),0))</f>
        <v>0.33034427749972683</v>
      </c>
      <c r="T46" s="947">
        <f ca="1">+S46</f>
        <v>0.33034427749972683</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440" t="s">
        <v>944</v>
      </c>
      <c r="D47" s="857" t="s">
        <v>772</v>
      </c>
      <c r="E47" s="874" t="s">
        <v>974</v>
      </c>
      <c r="F47" s="254" t="s">
        <v>455</v>
      </c>
      <c r="G47" s="254">
        <v>2005</v>
      </c>
      <c r="H47" s="254" t="s">
        <v>487</v>
      </c>
      <c r="I47" s="874" t="str">
        <f>+I46</f>
        <v>Thermal Input</v>
      </c>
      <c r="J47" s="858" t="str">
        <f>+J46</f>
        <v>MW</v>
      </c>
      <c r="K47" s="858">
        <v>1</v>
      </c>
      <c r="L47" s="858">
        <v>0.75</v>
      </c>
      <c r="M47" s="857">
        <v>1</v>
      </c>
      <c r="N47" s="392">
        <v>1800</v>
      </c>
      <c r="O47" s="392">
        <v>17.5</v>
      </c>
      <c r="P47" s="169">
        <v>1</v>
      </c>
      <c r="Q47" s="392">
        <f>+Q46</f>
        <v>128.99100000000001</v>
      </c>
      <c r="R47" s="217">
        <f>IF(ISBLANK(Q47),"",(P47/M47)^K47*O47*((Q47/P47)/(N47/M47))^L47)</f>
        <v>2.4238359751027687</v>
      </c>
      <c r="S47" s="217" cm="1">
        <f t="array" aca="1" ref="S47" ca="1">IF(ISBLANK(Q47),"",IF(R47&gt;0,R47*INDIRECT(ADDRESS(MATCH(G47,'Cost Conversion'!$B$3:$B$48,0)+2,4,1,1,"Cost conversion"))*INDIRECT(ADDRESS(MATCH(H47,'Cost Conversion'!$F$3:$F$22,0)+2,8,1,1,"Cost conversion"))/IF(F47="$",'Cost Conversion'!$L$2,1),0))</f>
        <v>3.2557677162369312</v>
      </c>
      <c r="T47" s="947">
        <f t="shared" ref="T47:T51" ca="1" si="9">+S47</f>
        <v>3.2557677162369312</v>
      </c>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719"/>
      <c r="E48" s="720"/>
      <c r="F48" s="254"/>
      <c r="G48" s="254"/>
      <c r="H48" s="254"/>
      <c r="I48" s="720"/>
      <c r="J48" s="720"/>
      <c r="K48" s="720"/>
      <c r="L48" s="720"/>
      <c r="M48" s="857"/>
      <c r="N48" s="858"/>
      <c r="O48" s="793"/>
      <c r="P48" s="858"/>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947" t="str">
        <f t="shared" ca="1" si="9"/>
        <v/>
      </c>
      <c r="U48" s="105"/>
      <c r="V48" s="120"/>
      <c r="W48" s="1150" t="s">
        <v>358</v>
      </c>
      <c r="X48" s="1151"/>
      <c r="Y48" s="865" t="s">
        <v>816</v>
      </c>
      <c r="Z48" s="881"/>
      <c r="AA48" s="881"/>
      <c r="AB48" s="881"/>
      <c r="AC48" s="881"/>
      <c r="AD48" s="507"/>
      <c r="AE48" s="507"/>
      <c r="AF48" s="517"/>
      <c r="AG48" s="262" t="s">
        <v>686</v>
      </c>
      <c r="AH48" s="262" t="s">
        <v>359</v>
      </c>
      <c r="AI48" s="1172" t="s">
        <v>579</v>
      </c>
      <c r="AJ48" s="1173"/>
      <c r="AK48" s="1173"/>
      <c r="AL48" s="1173"/>
      <c r="AM48" s="1173"/>
      <c r="AN48" s="1174"/>
      <c r="AO48" s="113"/>
      <c r="AP48" s="105"/>
      <c r="AQ48" s="241"/>
      <c r="AR48" s="452"/>
    </row>
    <row r="49" spans="1:57" ht="16.2" customHeight="1" x14ac:dyDescent="0.3">
      <c r="A49" s="83"/>
      <c r="B49" s="104"/>
      <c r="C49" s="384"/>
      <c r="D49" s="719"/>
      <c r="E49" s="720"/>
      <c r="F49" s="254"/>
      <c r="G49" s="254"/>
      <c r="H49" s="254"/>
      <c r="I49" s="720"/>
      <c r="J49" s="720"/>
      <c r="K49" s="720"/>
      <c r="L49" s="720"/>
      <c r="M49" s="857"/>
      <c r="N49" s="858"/>
      <c r="O49" s="858"/>
      <c r="P49" s="858"/>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947" t="str">
        <f t="shared" ca="1" si="9"/>
        <v/>
      </c>
      <c r="U49" s="105"/>
      <c r="V49" s="120"/>
      <c r="W49" s="1152" t="s">
        <v>817</v>
      </c>
      <c r="X49" s="1153"/>
      <c r="Y49" s="807">
        <v>40</v>
      </c>
      <c r="Z49" s="507"/>
      <c r="AA49" s="507"/>
      <c r="AB49" s="507"/>
      <c r="AC49" s="507"/>
      <c r="AD49" s="507"/>
      <c r="AE49" s="507"/>
      <c r="AF49" s="517"/>
      <c r="AG49" s="86">
        <v>1</v>
      </c>
      <c r="AH49" s="86" t="str">
        <f>+E46</f>
        <v>Manzolini [1]</v>
      </c>
      <c r="AI49" s="1161" t="s">
        <v>973</v>
      </c>
      <c r="AJ49" s="1161"/>
      <c r="AK49" s="1161"/>
      <c r="AL49" s="1161"/>
      <c r="AM49" s="1161"/>
      <c r="AN49" s="1161"/>
      <c r="AO49" s="113"/>
      <c r="AP49" s="105"/>
      <c r="AQ49" s="241"/>
      <c r="AR49" s="452"/>
    </row>
    <row r="50" spans="1:57" ht="16.2" customHeight="1" x14ac:dyDescent="0.3">
      <c r="A50" s="83"/>
      <c r="B50" s="104"/>
      <c r="C50" s="801" t="s">
        <v>255</v>
      </c>
      <c r="D50" s="801"/>
      <c r="E50" s="802"/>
      <c r="F50" s="802" t="str">
        <f>+F46</f>
        <v>€</v>
      </c>
      <c r="G50" s="802">
        <v>2001</v>
      </c>
      <c r="H50" s="802">
        <f>+H49</f>
        <v>0</v>
      </c>
      <c r="I50" s="720"/>
      <c r="J50" s="720"/>
      <c r="K50" s="720"/>
      <c r="L50" s="720"/>
      <c r="M50" s="857"/>
      <c r="N50" s="858"/>
      <c r="O50" s="858"/>
      <c r="P50" s="858"/>
      <c r="Q50" s="798">
        <v>1</v>
      </c>
      <c r="R50" s="799">
        <f>+S13</f>
        <v>0.41045424904041167</v>
      </c>
      <c r="S50" s="799" t="e" cm="1">
        <f t="array" aca="1" ref="S50" ca="1">IF(ISBLANK(Q50),"",IF(R50&gt;0,R50*INDIRECT(ADDRESS(MATCH(G50,'Cost Conversion'!$B$3:$B$48,0)+2,4,1,1,"Cost conversion"))*INDIRECT(ADDRESS(MATCH(H50,'Cost Conversion'!$F$3:$F$22,0)+2,8,1,1,"Cost conversion"))/IF(F50="$",'Cost Conversion'!$L$2,1),0))</f>
        <v>#N/A</v>
      </c>
      <c r="T50" s="947" t="e">
        <f t="shared" ca="1" si="9"/>
        <v>#N/A</v>
      </c>
      <c r="U50" s="105"/>
      <c r="V50" s="120"/>
      <c r="W50" s="1146" t="s">
        <v>818</v>
      </c>
      <c r="X50" s="1106"/>
      <c r="Y50" s="807">
        <v>0.7</v>
      </c>
      <c r="Z50" s="507"/>
      <c r="AA50" s="507"/>
      <c r="AB50" s="507"/>
      <c r="AC50" s="507"/>
      <c r="AD50" s="507"/>
      <c r="AE50" s="507"/>
      <c r="AF50" s="517"/>
      <c r="AG50" s="866">
        <v>2</v>
      </c>
      <c r="AH50" s="866" t="str">
        <f>+E47</f>
        <v>Manzolini [2]</v>
      </c>
      <c r="AI50" s="1142" t="s">
        <v>976</v>
      </c>
      <c r="AJ50" s="1142"/>
      <c r="AK50" s="1142"/>
      <c r="AL50" s="1142"/>
      <c r="AM50" s="1142"/>
      <c r="AN50" s="1142"/>
      <c r="AO50" s="113"/>
      <c r="AP50" s="105"/>
      <c r="AQ50" s="241"/>
      <c r="AR50" s="452"/>
    </row>
    <row r="51" spans="1:57" ht="16.2" customHeight="1" x14ac:dyDescent="0.3">
      <c r="A51" s="83"/>
      <c r="B51" s="104"/>
      <c r="C51" s="801" t="s">
        <v>774</v>
      </c>
      <c r="D51" s="801"/>
      <c r="E51" s="802"/>
      <c r="F51" s="802" t="str">
        <f>+F50</f>
        <v>€</v>
      </c>
      <c r="G51" s="802">
        <v>2001</v>
      </c>
      <c r="H51" s="802">
        <f>+H50</f>
        <v>0</v>
      </c>
      <c r="I51" s="720"/>
      <c r="J51" s="720"/>
      <c r="K51" s="720"/>
      <c r="L51" s="720"/>
      <c r="M51" s="859"/>
      <c r="N51" s="860"/>
      <c r="O51" s="860"/>
      <c r="P51" s="860"/>
      <c r="Q51" s="800">
        <v>1</v>
      </c>
      <c r="R51" s="912">
        <f>+S14</f>
        <v>0.2039825733060118</v>
      </c>
      <c r="S51" s="799" t="e" cm="1">
        <f t="array" aca="1" ref="S51" ca="1">IF(ISBLANK(Q51),"",IF(R51&gt;0,R51*INDIRECT(ADDRESS(MATCH(G51,'Cost Conversion'!$B$3:$B$48,0)+2,4,1,1,"Cost conversion"))*INDIRECT(ADDRESS(MATCH(H51,'Cost Conversion'!$F$3:$F$22,0)+2,8,1,1,"Cost conversion"))/IF(F51="$",'Cost Conversion'!$L$2,1),0))</f>
        <v>#N/A</v>
      </c>
      <c r="T51" s="947" t="e">
        <f t="shared" ca="1" si="9"/>
        <v>#N/A</v>
      </c>
      <c r="U51" s="105"/>
      <c r="V51" s="120"/>
      <c r="W51" s="1146" t="s">
        <v>819</v>
      </c>
      <c r="X51" s="1106"/>
      <c r="Y51" s="807">
        <v>1500</v>
      </c>
      <c r="Z51" s="507"/>
      <c r="AA51" s="507"/>
      <c r="AB51" s="507"/>
      <c r="AC51" s="507"/>
      <c r="AD51" s="507"/>
      <c r="AE51" s="507"/>
      <c r="AF51" s="517"/>
      <c r="AG51" s="921">
        <v>3</v>
      </c>
      <c r="AH51" s="921" t="s">
        <v>825</v>
      </c>
      <c r="AI51" s="1154" t="s">
        <v>1027</v>
      </c>
      <c r="AJ51" s="1154"/>
      <c r="AK51" s="1154"/>
      <c r="AL51" s="1154"/>
      <c r="AM51" s="1154"/>
      <c r="AN51" s="1154"/>
      <c r="AO51" s="113"/>
      <c r="AP51" s="105"/>
      <c r="AQ51" s="241"/>
      <c r="AR51" s="452"/>
    </row>
    <row r="52" spans="1:57" ht="16.2" customHeight="1" x14ac:dyDescent="0.3">
      <c r="A52" s="83"/>
      <c r="B52" s="104"/>
      <c r="C52" s="224"/>
      <c r="D52" s="722"/>
      <c r="E52" s="723"/>
      <c r="F52" s="723"/>
      <c r="G52" s="723"/>
      <c r="H52" s="723"/>
      <c r="I52" s="723"/>
      <c r="J52" s="723"/>
      <c r="K52" s="723"/>
      <c r="L52" s="724"/>
      <c r="M52" s="549" t="s">
        <v>584</v>
      </c>
      <c r="N52" s="541" t="s">
        <v>463</v>
      </c>
      <c r="O52" s="731" t="s">
        <v>315</v>
      </c>
      <c r="P52" s="1155" t="s">
        <v>476</v>
      </c>
      <c r="Q52" s="1156"/>
      <c r="R52" s="589" t="s">
        <v>639</v>
      </c>
      <c r="S52" s="833" t="s">
        <v>638</v>
      </c>
      <c r="T52" s="106"/>
      <c r="U52" s="105"/>
      <c r="V52" s="120"/>
      <c r="W52" s="1147" t="s">
        <v>820</v>
      </c>
      <c r="X52" s="1148"/>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748"/>
      <c r="D53" s="742"/>
      <c r="E53" s="742"/>
      <c r="F53" s="742"/>
      <c r="G53" s="742"/>
      <c r="H53" s="742"/>
      <c r="I53" s="742"/>
      <c r="J53" s="742"/>
      <c r="K53" s="742"/>
      <c r="L53" s="743"/>
      <c r="M53" s="732" t="s">
        <v>488</v>
      </c>
      <c r="N53" s="531" t="s">
        <v>486</v>
      </c>
      <c r="O53" s="733">
        <v>2001</v>
      </c>
      <c r="P53" s="1077" t="s">
        <v>477</v>
      </c>
      <c r="Q53" s="1079"/>
      <c r="R53" s="551">
        <f>+IF(SUM(S13:S43)&gt;0,IF(G3="Equipment",SUM(S13:S43),"NaN"),"")</f>
        <v>1.4763386096581608</v>
      </c>
      <c r="S53" s="552" cm="1">
        <f t="array" aca="1" ref="S53" ca="1">+IF(R53="",0,R53*INDIRECT(ADDRESS(MATCH(O53,'Cost Conversion'!$B$3:$B$48,0)+2,4,1,1,"Cost conversion"))*INDIRECT(ADDRESS(MATCH(P53,'Cost Conversion'!$F$3:$F$22,0)+2,8,1,1,"Cost conversion"))/IF(N53="$",'Cost Conversion'!$L$2,1))</f>
        <v>2.3547282566929173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744"/>
      <c r="D54" s="745"/>
      <c r="E54" s="745"/>
      <c r="F54" s="745"/>
      <c r="G54" s="745"/>
      <c r="H54" s="745"/>
      <c r="I54" s="745"/>
      <c r="J54" s="745"/>
      <c r="K54" s="745"/>
      <c r="L54" s="746"/>
      <c r="M54" s="531" t="s">
        <v>640</v>
      </c>
      <c r="N54" s="140"/>
      <c r="O54" s="146"/>
      <c r="P54" s="1077"/>
      <c r="Q54" s="1079"/>
      <c r="R54" s="551" t="s">
        <v>354</v>
      </c>
      <c r="S54" s="552">
        <f ca="1">+IF(SUM(S46:S49)&gt;=0,SUM(S46:S49),"")</f>
        <v>3.5861119937366581</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102" t="str">
        <f>+"BEC Distribution: "&amp;E6</f>
        <v>BEC Distribution: NG Pre-treating</v>
      </c>
      <c r="C57" s="1103"/>
      <c r="D57" s="1103"/>
      <c r="E57" s="1103"/>
      <c r="F57" s="1103"/>
      <c r="G57" s="1104"/>
      <c r="H57" s="1102" t="str">
        <f>+"Estimate Benchmark: "&amp;E6</f>
        <v>Estimate Benchmark: NG Pre-treating</v>
      </c>
      <c r="I57" s="1103"/>
      <c r="J57" s="1103"/>
      <c r="K57" s="1103"/>
      <c r="L57" s="1103"/>
      <c r="M57" s="1103"/>
      <c r="N57" s="1104"/>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96"/>
      <c r="I80" s="397"/>
      <c r="J80" s="397"/>
      <c r="K80" s="397"/>
      <c r="L80" s="397"/>
      <c r="M80" s="397"/>
      <c r="N80" s="399"/>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4" t="s">
        <v>1019</v>
      </c>
      <c r="C81" s="1135"/>
      <c r="D81" s="1135"/>
      <c r="E81" s="1135"/>
      <c r="F81" s="1135"/>
      <c r="G81" s="1136"/>
      <c r="H81" s="128" t="s">
        <v>686</v>
      </c>
      <c r="I81" s="128" t="s">
        <v>359</v>
      </c>
      <c r="J81" s="1133" t="s">
        <v>579</v>
      </c>
      <c r="K81" s="1133"/>
      <c r="L81" s="1133"/>
      <c r="M81" s="1133"/>
      <c r="N81" s="113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7"/>
      <c r="C82" s="1138"/>
      <c r="D82" s="1138"/>
      <c r="E82" s="1138"/>
      <c r="F82" s="1138"/>
      <c r="G82" s="1139"/>
      <c r="H82" s="916"/>
      <c r="I82" s="916"/>
      <c r="J82" s="1143"/>
      <c r="K82" s="1144"/>
      <c r="L82" s="1144"/>
      <c r="M82" s="1144"/>
      <c r="N82" s="114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9">
    <mergeCell ref="C3:F3"/>
    <mergeCell ref="G3:H3"/>
    <mergeCell ref="J3:M3"/>
    <mergeCell ref="O3:S3"/>
    <mergeCell ref="AI49:AN49"/>
    <mergeCell ref="D5:E5"/>
    <mergeCell ref="G5:H5"/>
    <mergeCell ref="J5:K9"/>
    <mergeCell ref="O5:S5"/>
    <mergeCell ref="W3:AN3"/>
    <mergeCell ref="D44:R44"/>
    <mergeCell ref="AI48:AN48"/>
    <mergeCell ref="W34:AN34"/>
    <mergeCell ref="W36:AD36"/>
    <mergeCell ref="W37:Y37"/>
    <mergeCell ref="Z37:AA37"/>
    <mergeCell ref="H57:N57"/>
    <mergeCell ref="P52:Q52"/>
    <mergeCell ref="C8:C9"/>
    <mergeCell ref="D8:D9"/>
    <mergeCell ref="E8:E9"/>
    <mergeCell ref="D11:L11"/>
    <mergeCell ref="M11:R11"/>
    <mergeCell ref="J81:N81"/>
    <mergeCell ref="O6:S9"/>
    <mergeCell ref="B81:G82"/>
    <mergeCell ref="C6:C7"/>
    <mergeCell ref="AI50:AN50"/>
    <mergeCell ref="J82:N82"/>
    <mergeCell ref="W50:X50"/>
    <mergeCell ref="W51:X51"/>
    <mergeCell ref="W52:X52"/>
    <mergeCell ref="P53:Q53"/>
    <mergeCell ref="P54:Q54"/>
    <mergeCell ref="AB37:AC37"/>
    <mergeCell ref="W48:X48"/>
    <mergeCell ref="W49:X49"/>
    <mergeCell ref="AI51:AN51"/>
    <mergeCell ref="B57:G57"/>
  </mergeCells>
  <phoneticPr fontId="14" type="noConversion"/>
  <dataValidations count="10">
    <dataValidation type="list" allowBlank="1" showInputMessage="1" showErrorMessage="1" sqref="B54" xr:uid="{F717E148-994A-4B18-B09B-3DFF64BE5E15}">
      <formula1>Lifetime</formula1>
    </dataValidation>
    <dataValidation type="list" allowBlank="1" showInputMessage="1" showErrorMessage="1" sqref="B55" xr:uid="{66BA0CBA-955A-4844-8305-F03970B1464C}">
      <formula1>Construction</formula1>
    </dataValidation>
    <dataValidation type="list" allowBlank="1" showInputMessage="1" showErrorMessage="1" sqref="F46:F52" xr:uid="{9D64707A-9D99-459D-A4F5-85566AB9EE5A}">
      <formula1>Currency</formula1>
    </dataValidation>
    <dataValidation type="list" allowBlank="1" showInputMessage="1" showErrorMessage="1" sqref="G46:G52" xr:uid="{8502BB47-EEE6-44C9-A543-74C1529481CA}">
      <formula1>Year</formula1>
    </dataValidation>
    <dataValidation type="list" allowBlank="1" showInputMessage="1" showErrorMessage="1" sqref="H46:H52" xr:uid="{023AAFEB-8607-4774-90C3-533B27B4CC2A}">
      <formula1>Location</formula1>
    </dataValidation>
    <dataValidation type="list" allowBlank="1" showInputMessage="1" showErrorMessage="1" sqref="I13:I43" xr:uid="{FF34DFE3-C50C-447C-AFF4-E24E85583295}">
      <formula1>INDIRECT(IF($D13="Heat Exchanger",SUBSTITUTE($D13," ","")&amp;"_"&amp;SUBSTITUTE(SUBSTITUTE($E13,",","")," ","")&amp;"_Material",SUBSTITUTE($D13," ","")&amp;"_Material"))</formula1>
    </dataValidation>
    <dataValidation type="list" allowBlank="1" showInputMessage="1" showErrorMessage="1" sqref="E21" xr:uid="{D00204A2-729B-44DB-ADB8-46E49BC61654}">
      <formula1>INDIRECT(SUBSTITUTE($D22," ",""))</formula1>
    </dataValidation>
    <dataValidation type="list" allowBlank="1" showInputMessage="1" showErrorMessage="1" sqref="E8:E9" xr:uid="{C5B4DF8A-5065-47DD-8C7D-322923D73F76}">
      <formula1>Case</formula1>
    </dataValidation>
    <dataValidation type="list" allowBlank="1" showInputMessage="1" showErrorMessage="1" sqref="E22:E43 E13:E20" xr:uid="{B3936067-8256-4B5E-BBE8-7E2075701A82}">
      <formula1>INDIRECT(SUBSTITUTE($D13," ",""))</formula1>
    </dataValidation>
    <dataValidation type="list" allowBlank="1" showInputMessage="1" showErrorMessage="1" sqref="D22:D43 D13:D20" xr:uid="{9215967F-A470-45D0-ADF9-9CC2897CE183}">
      <formula1>Equipment</formula1>
    </dataValidation>
  </dataValidations>
  <hyperlinks>
    <hyperlink ref="AI49" r:id="rId1" xr:uid="{897B595D-5249-48AD-B350-9FCD3B6A322C}"/>
    <hyperlink ref="AI50" r:id="rId2" xr:uid="{D7D904A3-2CE8-4459-936C-C9F44F20E336}"/>
    <hyperlink ref="AI51" r:id="rId3" xr:uid="{233257AD-8450-4C6D-A676-254B1B34AE4A}"/>
  </hyperlinks>
  <pageMargins left="0.7" right="0.7" top="0.75" bottom="0.75" header="0.3" footer="0.3"/>
  <pageSetup paperSize="9" orientation="portrait" verticalDpi="1200" r:id="rId4"/>
  <ignoredErrors>
    <ignoredError sqref="S50:T51" evalError="1"/>
    <ignoredError sqref="AB41:AB42" 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279553" r:id="rId7"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8"/>
    <tablePart r:id="rId9"/>
    <tablePart r:id="rId1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1"/>
  <sheetViews>
    <sheetView showGridLines="0" topLeftCell="A10" zoomScale="40" zoomScaleNormal="40" workbookViewId="0">
      <selection activeCell="S55" sqref="S55"/>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102" t="s">
        <v>270</v>
      </c>
      <c r="D3" s="1103"/>
      <c r="E3" s="1103"/>
      <c r="F3" s="1103"/>
      <c r="G3" s="1102" t="s">
        <v>229</v>
      </c>
      <c r="H3" s="1104"/>
      <c r="I3" s="92"/>
      <c r="J3" s="1102" t="s">
        <v>667</v>
      </c>
      <c r="K3" s="1103"/>
      <c r="L3" s="1103"/>
      <c r="M3" s="1104"/>
      <c r="N3" s="210"/>
      <c r="O3" s="1102" t="str">
        <f>+E6</f>
        <v>GSR</v>
      </c>
      <c r="P3" s="1103"/>
      <c r="Q3" s="1103"/>
      <c r="R3" s="1103"/>
      <c r="S3" s="1104"/>
      <c r="T3" s="106"/>
      <c r="U3" s="106"/>
      <c r="V3" s="112"/>
      <c r="W3" s="1168" t="str">
        <f>+E6&amp;" Diagram"</f>
        <v>GSR Diagram</v>
      </c>
      <c r="X3" s="1169"/>
      <c r="Y3" s="1169"/>
      <c r="Z3" s="1169"/>
      <c r="AA3" s="1169"/>
      <c r="AB3" s="1169"/>
      <c r="AC3" s="1169"/>
      <c r="AD3" s="1169"/>
      <c r="AE3" s="1169"/>
      <c r="AF3" s="1169"/>
      <c r="AG3" s="1169"/>
      <c r="AH3" s="1169"/>
      <c r="AI3" s="1169"/>
      <c r="AJ3" s="1169"/>
      <c r="AK3" s="1169"/>
      <c r="AL3" s="1169"/>
      <c r="AM3" s="1169"/>
      <c r="AN3" s="1170"/>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16" t="s">
        <v>265</v>
      </c>
      <c r="E5" s="1117"/>
      <c r="F5" s="105"/>
      <c r="G5" s="1116" t="s">
        <v>267</v>
      </c>
      <c r="H5" s="1117"/>
      <c r="I5" s="92"/>
      <c r="J5" s="1162"/>
      <c r="K5" s="1163"/>
      <c r="L5" s="214" t="s">
        <v>469</v>
      </c>
      <c r="M5" s="500" t="s">
        <v>503</v>
      </c>
      <c r="N5" s="501"/>
      <c r="O5" s="1039" t="s">
        <v>579</v>
      </c>
      <c r="P5" s="1040"/>
      <c r="Q5" s="1040"/>
      <c r="R5" s="1040"/>
      <c r="S5" s="104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40" t="s">
        <v>495</v>
      </c>
      <c r="D6" s="277" t="s">
        <v>677</v>
      </c>
      <c r="E6" s="548" t="str">
        <f>+'Plant Overview'!V38</f>
        <v>GSR</v>
      </c>
      <c r="F6" s="105"/>
      <c r="G6" s="85"/>
      <c r="H6" s="395" t="s">
        <v>262</v>
      </c>
      <c r="I6" s="92"/>
      <c r="J6" s="1164"/>
      <c r="K6" s="1165"/>
      <c r="L6" s="189" t="s">
        <v>470</v>
      </c>
      <c r="M6" s="86" t="s">
        <v>504</v>
      </c>
      <c r="N6" s="501"/>
      <c r="O6" s="1107" t="str">
        <f>+'Plant Overview'!X38</f>
        <v>Gas Switching Reforming Island</v>
      </c>
      <c r="P6" s="1108"/>
      <c r="Q6" s="1108"/>
      <c r="R6" s="1108"/>
      <c r="S6" s="110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41"/>
      <c r="D7" s="277" t="s">
        <v>676</v>
      </c>
      <c r="E7" s="548" t="str">
        <f>+'Plant Overview'!W38</f>
        <v>U-200</v>
      </c>
      <c r="F7" s="105"/>
      <c r="G7" s="96"/>
      <c r="H7" s="395" t="s">
        <v>263</v>
      </c>
      <c r="I7" s="92"/>
      <c r="J7" s="1164"/>
      <c r="K7" s="1165"/>
      <c r="L7" s="214" t="s">
        <v>464</v>
      </c>
      <c r="M7" s="500" t="s">
        <v>502</v>
      </c>
      <c r="N7" s="501"/>
      <c r="O7" s="1110"/>
      <c r="P7" s="1111"/>
      <c r="Q7" s="1111"/>
      <c r="R7" s="1111"/>
      <c r="S7" s="1112"/>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119"/>
      <c r="D8" s="1157" t="s">
        <v>312</v>
      </c>
      <c r="E8" s="1159" t="s">
        <v>418</v>
      </c>
      <c r="F8" s="105"/>
      <c r="G8" s="95"/>
      <c r="H8" s="893" t="s">
        <v>264</v>
      </c>
      <c r="I8" s="92"/>
      <c r="J8" s="1164"/>
      <c r="K8" s="1165"/>
      <c r="L8" s="214" t="s">
        <v>465</v>
      </c>
      <c r="M8" s="500" t="s">
        <v>500</v>
      </c>
      <c r="N8" s="501"/>
      <c r="O8" s="1110"/>
      <c r="P8" s="1111"/>
      <c r="Q8" s="1111"/>
      <c r="R8" s="1111"/>
      <c r="S8" s="1112"/>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120"/>
      <c r="D9" s="1158"/>
      <c r="E9" s="1160"/>
      <c r="F9" s="105"/>
      <c r="G9" s="110"/>
      <c r="H9" s="895" t="s">
        <v>268</v>
      </c>
      <c r="I9" s="92"/>
      <c r="J9" s="1166"/>
      <c r="K9" s="1167"/>
      <c r="L9" s="214" t="s">
        <v>466</v>
      </c>
      <c r="M9" s="500" t="s">
        <v>501</v>
      </c>
      <c r="N9" s="501"/>
      <c r="O9" s="1113"/>
      <c r="P9" s="1114"/>
      <c r="Q9" s="1114"/>
      <c r="R9" s="1114"/>
      <c r="S9" s="1115"/>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102" t="s">
        <v>571</v>
      </c>
      <c r="E11" s="1103"/>
      <c r="F11" s="1103"/>
      <c r="G11" s="1103"/>
      <c r="H11" s="1103"/>
      <c r="I11" s="1103"/>
      <c r="J11" s="1103"/>
      <c r="K11" s="1103"/>
      <c r="L11" s="1104"/>
      <c r="M11" s="1102" t="s">
        <v>580</v>
      </c>
      <c r="N11" s="1103"/>
      <c r="O11" s="1103"/>
      <c r="P11" s="1103"/>
      <c r="Q11" s="1103"/>
      <c r="R11" s="1104"/>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526</v>
      </c>
      <c r="D13" s="267" t="s">
        <v>260</v>
      </c>
      <c r="E13" s="267" t="s">
        <v>201</v>
      </c>
      <c r="F13" s="168">
        <f>+X47*X47*PI()/4*X48*X47</f>
        <v>2.5112870855770466</v>
      </c>
      <c r="G13" s="889">
        <v>1</v>
      </c>
      <c r="H13" s="889" t="s">
        <v>471</v>
      </c>
      <c r="I13" s="889" t="s">
        <v>133</v>
      </c>
      <c r="J13" s="889" t="str">
        <f>+IF(F13&gt;'Equipment Data'!$F$239,"yes","No")</f>
        <v>No</v>
      </c>
      <c r="K13" s="889">
        <v>0.67</v>
      </c>
      <c r="L13" s="392">
        <f>+X47</f>
        <v>1.0214765689619763</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4942.2944449646084</v>
      </c>
      <c r="N13" s="392">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7.07</v>
      </c>
      <c r="P13" s="169">
        <f>+'Equipment Data'!$C$244+'Equipment Data'!$D$244*N13*O13</f>
        <v>15.117400000000002</v>
      </c>
      <c r="Q13" s="169">
        <f>+M13*P13</f>
        <v>74714.642042307984</v>
      </c>
      <c r="R13" s="502">
        <v>12</v>
      </c>
      <c r="S13" s="223">
        <f>+IF(Tabla258790120135[[#This Row],[Equipment]]="","",Q13*R13/10^6)*AB41</f>
        <v>1.7931514090153915</v>
      </c>
      <c r="T13" s="950">
        <f ca="1">+S13*$S$53/$R$53</f>
        <v>2.860037842074004</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774</v>
      </c>
      <c r="D14" s="267" t="s">
        <v>260</v>
      </c>
      <c r="E14" s="267" t="s">
        <v>201</v>
      </c>
      <c r="F14" s="168">
        <f>+F13+Q46</f>
        <v>7.5668936685562631</v>
      </c>
      <c r="G14" s="889">
        <f>+X39</f>
        <v>32.700000000000003</v>
      </c>
      <c r="H14" s="889" t="s">
        <v>471</v>
      </c>
      <c r="I14" s="889" t="s">
        <v>85</v>
      </c>
      <c r="J14" s="889" t="str">
        <f>+IF(F14&gt;'Equipment Data'!$F$239,"yes","No")</f>
        <v>No</v>
      </c>
      <c r="K14" s="889">
        <v>0.67</v>
      </c>
      <c r="L14" s="889">
        <f>1+2*AB40</f>
        <v>1.6</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9431.0630819682447</v>
      </c>
      <c r="N14" s="392">
        <f>+IF(L14="","Input Diameter in m",IF(G14&gt;0.5,IF(((G14*L14)/(2*(850-0.6*G14))+0.00315)/0.0063&lt;1,1,((G14*L14)/(2*(850-0.6*G14))+0.00315)/0.0063),1.25))</f>
        <v>5.5005791955260888</v>
      </c>
      <c r="O14" s="889">
        <f>+IF(I14="CS",'Equipment Data'!$C$247,IF(I14="SS Clad",'Equipment Data'!$C$248,IF(I14="SS",'Equipment Data'!$C$249,IF(I14="Ni Clad",'Equipment Data'!$C$250,IF(I14="Ni",'Equipment Data'!$C$251,IF(I14="Ti Clad",'Equipment Data'!$C$252,IF(I14="Ti",'Equipment Data'!$C$253,"N/A")))))))</f>
        <v>1</v>
      </c>
      <c r="P14" s="169">
        <f>+'Equipment Data'!$C$244+'Equipment Data'!$D$244*N14*O14</f>
        <v>12.261054135857481</v>
      </c>
      <c r="Q14" s="169">
        <f>+M14*P14</f>
        <v>115634.77500669955</v>
      </c>
      <c r="R14" s="503">
        <v>12</v>
      </c>
      <c r="S14" s="217">
        <f>+IF(Tabla258790120135[[#This Row],[Equipment]]="","",Q14*R14/10^6)</f>
        <v>1.3876173000803946</v>
      </c>
      <c r="T14" s="950">
        <f t="shared" ref="T14:T44" ca="1" si="0">+S14*$S$53/$R$53</f>
        <v>2.2132196804985043</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c r="D15" s="267"/>
      <c r="E15" s="267"/>
      <c r="F15" s="889"/>
      <c r="G15" s="889"/>
      <c r="H15" s="512" t="str">
        <f>IF(Tabla278891121136[[#This Row],[Subtype]]="","",VLOOKUP(Tabla278891121136[[#This Row],[Subtype]],'Unit-X00 Equipment'!$E$13:$H$107,4,FALSE))</f>
        <v/>
      </c>
      <c r="I15" s="889"/>
      <c r="J15" s="889"/>
      <c r="K15" s="889"/>
      <c r="L15" s="889"/>
      <c r="M15" s="172"/>
      <c r="N15" s="889"/>
      <c r="O15" s="392"/>
      <c r="P15" s="168"/>
      <c r="Q15" s="169"/>
      <c r="R15" s="503"/>
      <c r="S15" s="217" t="str">
        <f>+IF(Tabla258790120135[[#This Row],[Equipment]]="","",Q15*R15/10^6)</f>
        <v/>
      </c>
      <c r="T15" s="950"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c r="D16" s="233"/>
      <c r="E16" s="267"/>
      <c r="F16" s="392"/>
      <c r="G16" s="392"/>
      <c r="H16" s="512" t="str">
        <f>IF(Tabla278891121136[[#This Row],[Subtype]]="","",VLOOKUP(Tabla278891121136[[#This Row],[Subtype]],'Unit-X00 Equipment'!$E$13:$H$107,4,FALSE))</f>
        <v/>
      </c>
      <c r="I16" s="889"/>
      <c r="J16" s="889"/>
      <c r="K16" s="889"/>
      <c r="L16" s="889"/>
      <c r="M16" s="269"/>
      <c r="N16" s="392"/>
      <c r="O16" s="392"/>
      <c r="P16" s="392"/>
      <c r="Q16" s="392"/>
      <c r="R16" s="503"/>
      <c r="S16" s="217" t="str">
        <f>+IF(Tabla258790120135[[#This Row],[Equipment]]="","",Q16*R16/10^6)</f>
        <v/>
      </c>
      <c r="T16" s="950"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c r="D17" s="233"/>
      <c r="E17" s="266"/>
      <c r="F17" s="392"/>
      <c r="G17" s="392"/>
      <c r="H17" s="512" t="str">
        <f>IF(Tabla278891121136[[#This Row],[Subtype]]="","",VLOOKUP(Tabla278891121136[[#This Row],[Subtype]],'Unit-X00 Equipment'!$E$13:$H$107,4,FALSE))</f>
        <v/>
      </c>
      <c r="I17" s="889"/>
      <c r="J17" s="889"/>
      <c r="K17" s="889"/>
      <c r="L17" s="889"/>
      <c r="M17" s="269"/>
      <c r="N17" s="392"/>
      <c r="O17" s="392"/>
      <c r="P17" s="392"/>
      <c r="Q17" s="392"/>
      <c r="R17" s="503"/>
      <c r="S17" s="217" t="str">
        <f>+IF(Tabla258790120135[[#This Row],[Equipment]]="","",Q17*R17/10^6)</f>
        <v/>
      </c>
      <c r="T17" s="950"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IF(Tabla278891121136[[#This Row],[Subtype]]="","",VLOOKUP(Tabla278891121136[[#This Row],[Subtype]],'Unit-X00 Equipment'!$E$13:$H$107,4,FALSE))</f>
        <v/>
      </c>
      <c r="I18" s="889"/>
      <c r="J18" s="889"/>
      <c r="K18" s="889"/>
      <c r="L18" s="392"/>
      <c r="M18" s="269"/>
      <c r="N18" s="392"/>
      <c r="O18" s="392"/>
      <c r="P18" s="392"/>
      <c r="Q18" s="392"/>
      <c r="R18" s="503"/>
      <c r="S18" s="217" t="str">
        <f>+IF(Tabla258790120135[[#This Row],[Equipment]]="","",Q18*R18/10^6)</f>
        <v/>
      </c>
      <c r="T18" s="950"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IF(Tabla278891121136[[#This Row],[Subtype]]="","",VLOOKUP(Tabla278891121136[[#This Row],[Subtype]],'Unit-X00 Equipment'!$E$13:$H$107,4,FALSE))</f>
        <v/>
      </c>
      <c r="I19" s="889"/>
      <c r="J19" s="889"/>
      <c r="K19" s="889"/>
      <c r="L19" s="392"/>
      <c r="M19" s="269"/>
      <c r="N19" s="392"/>
      <c r="O19" s="392"/>
      <c r="P19" s="392"/>
      <c r="Q19" s="392"/>
      <c r="R19" s="503"/>
      <c r="S19" s="217" t="str">
        <f>+IF(Tabla258790120135[[#This Row],[Equipment]]="","",Q19*R19/10^6)</f>
        <v/>
      </c>
      <c r="T19" s="950"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IF(Tabla278891121136[[#This Row],[Subtype]]="","",VLOOKUP(Tabla278891121136[[#This Row],[Subtype]],'Unit-X00 Equipment'!$E$13:$H$107,4,FALSE))</f>
        <v/>
      </c>
      <c r="I20" s="889"/>
      <c r="J20" s="889"/>
      <c r="K20" s="889"/>
      <c r="L20" s="889"/>
      <c r="M20" s="269"/>
      <c r="N20" s="392"/>
      <c r="O20" s="392"/>
      <c r="P20" s="392"/>
      <c r="Q20" s="392"/>
      <c r="R20" s="503"/>
      <c r="S20" s="217" t="str">
        <f>+IF(Tabla258790120135[[#This Row],[Equipment]]="","",Q20*R20/10^6)</f>
        <v/>
      </c>
      <c r="T20" s="950"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IF(Tabla278891121136[[#This Row],[Subtype]]="","",VLOOKUP(Tabla278891121136[[#This Row],[Subtype]],'Unit-X00 Equipment'!$E$13:$H$107,4,FALSE))</f>
        <v/>
      </c>
      <c r="I21" s="889"/>
      <c r="J21" s="889"/>
      <c r="K21" s="889"/>
      <c r="L21" s="889"/>
      <c r="M21" s="269"/>
      <c r="N21" s="392"/>
      <c r="O21" s="392"/>
      <c r="P21" s="392"/>
      <c r="Q21" s="392"/>
      <c r="R21" s="503"/>
      <c r="S21" s="217" t="str">
        <f>+IF(Tabla258790120135[[#This Row],[Equipment]]="","",Q21*R21/10^6)</f>
        <v/>
      </c>
      <c r="T21" s="950"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IF(Tabla278891121136[[#This Row],[Subtype]]="","",VLOOKUP(Tabla278891121136[[#This Row],[Subtype]],'Unit-X00 Equipment'!$E$13:$H$107,4,FALSE))</f>
        <v/>
      </c>
      <c r="I22" s="889"/>
      <c r="J22" s="889"/>
      <c r="K22" s="889"/>
      <c r="L22" s="889"/>
      <c r="M22" s="269"/>
      <c r="N22" s="392"/>
      <c r="O22" s="392"/>
      <c r="P22" s="392"/>
      <c r="Q22" s="392"/>
      <c r="R22" s="503"/>
      <c r="S22" s="217" t="str">
        <f>+IF(Tabla258790120135[[#This Row],[Equipment]]="","",Q22*R22/10^6)</f>
        <v/>
      </c>
      <c r="T22" s="950"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IF(Tabla278891121136[[#This Row],[Subtype]]="","",VLOOKUP(Tabla278891121136[[#This Row],[Subtype]],'Unit-X00 Equipment'!$E$13:$H$107,4,FALSE))</f>
        <v/>
      </c>
      <c r="I23" s="889"/>
      <c r="J23" s="889"/>
      <c r="K23" s="889"/>
      <c r="L23" s="889"/>
      <c r="M23" s="269"/>
      <c r="N23" s="392"/>
      <c r="O23" s="392"/>
      <c r="P23" s="392"/>
      <c r="Q23" s="392"/>
      <c r="R23" s="503"/>
      <c r="S23" s="217" t="str">
        <f>+IF(Tabla258790120135[[#This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IF(Tabla278891121136[[#This Row],[Subtype]]="","",VLOOKUP(Tabla278891121136[[#This Row],[Subtype]],'Unit-X00 Equipment'!$E$13:$H$107,4,FALSE))</f>
        <v/>
      </c>
      <c r="I24" s="889"/>
      <c r="J24" s="889"/>
      <c r="K24" s="889"/>
      <c r="L24" s="889"/>
      <c r="M24" s="269"/>
      <c r="N24" s="392"/>
      <c r="O24" s="392"/>
      <c r="P24" s="392"/>
      <c r="Q24" s="392"/>
      <c r="R24" s="503"/>
      <c r="S24" s="217" t="str">
        <f>+IF(Tabla258790120135[[#This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IF(Tabla278891121136[[#This Row],[Subtype]]="","",VLOOKUP(Tabla278891121136[[#This Row],[Subtype]],'Unit-X00 Equipment'!$E$13:$H$107,4,FALSE))</f>
        <v/>
      </c>
      <c r="I25" s="889"/>
      <c r="J25" s="889"/>
      <c r="K25" s="889"/>
      <c r="L25" s="889"/>
      <c r="M25" s="269"/>
      <c r="N25" s="392"/>
      <c r="O25" s="392"/>
      <c r="P25" s="392"/>
      <c r="Q25" s="392"/>
      <c r="R25" s="503"/>
      <c r="S25" s="217" t="str">
        <f>+IF(Tabla258790120135[[#This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IF(Tabla278891121136[[#This Row],[Subtype]]="","",VLOOKUP(Tabla278891121136[[#This Row],[Subtype]],'Unit-X00 Equipment'!$E$13:$H$107,4,FALSE))</f>
        <v/>
      </c>
      <c r="I26" s="889"/>
      <c r="J26" s="889"/>
      <c r="K26" s="889"/>
      <c r="L26" s="889"/>
      <c r="M26" s="269"/>
      <c r="N26" s="392"/>
      <c r="O26" s="392"/>
      <c r="P26" s="392"/>
      <c r="Q26" s="392"/>
      <c r="R26" s="503"/>
      <c r="S26" s="217" t="str">
        <f>+IF(Tabla258790120135[[#This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IF(Tabla278891121136[[#This Row],[Subtype]]="","",VLOOKUP(Tabla278891121136[[#This Row],[Subtype]],'Unit-X00 Equipment'!$E$13:$H$107,4,FALSE))</f>
        <v/>
      </c>
      <c r="I27" s="889"/>
      <c r="J27" s="889"/>
      <c r="K27" s="889"/>
      <c r="L27" s="889"/>
      <c r="M27" s="269"/>
      <c r="N27" s="392"/>
      <c r="O27" s="392"/>
      <c r="P27" s="392"/>
      <c r="Q27" s="392"/>
      <c r="R27" s="503"/>
      <c r="S27" s="217" t="str">
        <f>+IF(Tabla258790120135[[#This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IF(Tabla278891121136[[#This Row],[Subtype]]="","",VLOOKUP(Tabla278891121136[[#This Row],[Subtype]],'Unit-X00 Equipment'!$E$13:$H$107,4,FALSE))</f>
        <v/>
      </c>
      <c r="I28" s="889"/>
      <c r="J28" s="889"/>
      <c r="K28" s="889"/>
      <c r="L28" s="889"/>
      <c r="M28" s="269"/>
      <c r="N28" s="392"/>
      <c r="O28" s="392"/>
      <c r="P28" s="392"/>
      <c r="Q28" s="392"/>
      <c r="R28" s="503"/>
      <c r="S28" s="217" t="str">
        <f>+IF(Tabla258790120135[[#This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IF(Tabla278891121136[[#This Row],[Subtype]]="","",VLOOKUP(Tabla278891121136[[#This Row],[Subtype]],'Unit-X00 Equipment'!$E$13:$H$107,4,FALSE))</f>
        <v/>
      </c>
      <c r="I29" s="889"/>
      <c r="J29" s="889"/>
      <c r="K29" s="889"/>
      <c r="L29" s="889"/>
      <c r="M29" s="269"/>
      <c r="N29" s="392"/>
      <c r="O29" s="392"/>
      <c r="P29" s="392"/>
      <c r="Q29" s="392"/>
      <c r="R29" s="503"/>
      <c r="S29" s="217" t="str">
        <f>+IF(Tabla258790120135[[#This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IF(Tabla278891121136[[#This Row],[Subtype]]="","",VLOOKUP(Tabla278891121136[[#This Row],[Subtype]],'Unit-X00 Equipment'!$E$13:$H$107,4,FALSE))</f>
        <v/>
      </c>
      <c r="I30" s="889"/>
      <c r="J30" s="889"/>
      <c r="K30" s="889"/>
      <c r="L30" s="889"/>
      <c r="M30" s="269"/>
      <c r="N30" s="392"/>
      <c r="O30" s="392"/>
      <c r="P30" s="392"/>
      <c r="Q30" s="392"/>
      <c r="R30" s="503"/>
      <c r="S30" s="217" t="str">
        <f>+IF(Tabla258790120135[[#This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IF(Tabla278891121136[[#This Row],[Subtype]]="","",VLOOKUP(Tabla278891121136[[#This Row],[Subtype]],'Unit-X00 Equipment'!$E$13:$H$107,4,FALSE))</f>
        <v/>
      </c>
      <c r="I31" s="889"/>
      <c r="J31" s="889"/>
      <c r="K31" s="889"/>
      <c r="L31" s="889"/>
      <c r="M31" s="269"/>
      <c r="N31" s="392"/>
      <c r="O31" s="392"/>
      <c r="P31" s="392"/>
      <c r="Q31" s="392"/>
      <c r="R31" s="503"/>
      <c r="S31" s="217" t="str">
        <f>+IF(Tabla258790120135[[#This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IF(Tabla278891121136[[#This Row],[Subtype]]="","",VLOOKUP(Tabla278891121136[[#This Row],[Subtype]],'Unit-X00 Equipment'!$E$13:$H$107,4,FALSE))</f>
        <v/>
      </c>
      <c r="I32" s="889"/>
      <c r="J32" s="889"/>
      <c r="K32" s="889"/>
      <c r="L32" s="889"/>
      <c r="M32" s="172"/>
      <c r="N32" s="889"/>
      <c r="O32" s="889"/>
      <c r="P32" s="168"/>
      <c r="Q32" s="169"/>
      <c r="R32" s="503"/>
      <c r="S32" s="217" t="str">
        <f>+IF(Tabla258790120135[[#This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IF(Tabla278891121136[[#This Row],[Subtype]]="","",VLOOKUP(Tabla278891121136[[#This Row],[Subtype]],'Unit-X00 Equipment'!$E$13:$H$107,4,FALSE))</f>
        <v/>
      </c>
      <c r="I33" s="889"/>
      <c r="J33" s="889"/>
      <c r="K33" s="889"/>
      <c r="L33" s="889"/>
      <c r="M33" s="172"/>
      <c r="N33" s="889"/>
      <c r="O33" s="889"/>
      <c r="P33" s="392"/>
      <c r="Q33" s="169"/>
      <c r="R33" s="503"/>
      <c r="S33" s="217" t="str">
        <f>+IF(Tabla258790120135[[#This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IF(Tabla278891121136[[#This Row],[Subtype]]="","",VLOOKUP(Tabla278891121136[[#This Row],[Subtype]],'Unit-X00 Equipment'!$E$13:$H$107,4,FALSE))</f>
        <v/>
      </c>
      <c r="I34" s="889"/>
      <c r="J34" s="889"/>
      <c r="K34" s="889"/>
      <c r="L34" s="889"/>
      <c r="M34" s="172"/>
      <c r="N34" s="889"/>
      <c r="O34" s="889"/>
      <c r="P34" s="889"/>
      <c r="Q34" s="169"/>
      <c r="R34" s="503"/>
      <c r="S34" s="217" t="str">
        <f>+IF(Tabla258790120135[[#This Row],[Equipment]]="","",Q34*R34/10^6)</f>
        <v/>
      </c>
      <c r="T34" s="950" t="e">
        <f t="shared" ca="1" si="0"/>
        <v>#VALUE!</v>
      </c>
      <c r="U34" s="105"/>
      <c r="V34" s="116"/>
      <c r="W34" s="1096" t="str">
        <f>+E6&amp;" Calculations"</f>
        <v>GSR Calculations</v>
      </c>
      <c r="X34" s="1097"/>
      <c r="Y34" s="1097"/>
      <c r="Z34" s="1097"/>
      <c r="AA34" s="1097"/>
      <c r="AB34" s="1097"/>
      <c r="AC34" s="1097"/>
      <c r="AD34" s="1097"/>
      <c r="AE34" s="1097"/>
      <c r="AF34" s="1097"/>
      <c r="AG34" s="1097"/>
      <c r="AH34" s="1097"/>
      <c r="AI34" s="1097"/>
      <c r="AJ34" s="1097"/>
      <c r="AK34" s="1097"/>
      <c r="AL34" s="1097"/>
      <c r="AM34" s="1097"/>
      <c r="AN34" s="1098"/>
      <c r="AO34" s="113"/>
      <c r="AP34" s="105"/>
      <c r="AQ34" s="241"/>
      <c r="AR34" s="452"/>
    </row>
    <row r="35" spans="1:44" ht="16.2" customHeight="1" x14ac:dyDescent="0.3">
      <c r="A35" s="83"/>
      <c r="B35" s="104"/>
      <c r="C35" s="440"/>
      <c r="D35" s="233"/>
      <c r="E35" s="267"/>
      <c r="F35" s="392"/>
      <c r="G35" s="392"/>
      <c r="H35" s="512" t="str">
        <f>IF(Tabla278891121136[[#This Row],[Subtype]]="","",VLOOKUP(Tabla278891121136[[#This Row],[Subtype]],'Unit-X00 Equipment'!$E$13:$H$107,4,FALSE))</f>
        <v/>
      </c>
      <c r="I35" s="889"/>
      <c r="J35" s="889"/>
      <c r="K35" s="889"/>
      <c r="L35" s="889"/>
      <c r="M35" s="172"/>
      <c r="N35" s="889"/>
      <c r="O35" s="889"/>
      <c r="P35" s="889"/>
      <c r="Q35" s="169"/>
      <c r="R35" s="503"/>
      <c r="S35" s="217" t="str">
        <f>+IF(Tabla258790120135[[#This Row],[Equipment]]="","",Q35*R35/10^6)</f>
        <v/>
      </c>
      <c r="T35" s="950" t="e">
        <f t="shared" ca="1" si="0"/>
        <v>#VALUE!</v>
      </c>
      <c r="U35" s="105"/>
      <c r="V35" s="499"/>
      <c r="W35" s="509"/>
      <c r="X35" s="509"/>
      <c r="Y35" s="509"/>
      <c r="Z35" s="509"/>
      <c r="AA35" s="509"/>
      <c r="AB35" s="511"/>
      <c r="AC35" s="509"/>
      <c r="AD35" s="509"/>
      <c r="AE35" s="509"/>
      <c r="AF35" s="509"/>
      <c r="AG35" s="509"/>
      <c r="AH35" s="509"/>
      <c r="AI35" s="509"/>
      <c r="AJ35" s="509"/>
      <c r="AK35" s="509"/>
      <c r="AL35" s="509"/>
      <c r="AM35" s="509"/>
      <c r="AN35" s="509"/>
      <c r="AO35" s="113"/>
      <c r="AP35" s="105"/>
      <c r="AQ35" s="241"/>
      <c r="AR35" s="452"/>
    </row>
    <row r="36" spans="1:44" ht="16.2" customHeight="1" x14ac:dyDescent="0.3">
      <c r="A36" s="83"/>
      <c r="B36" s="104"/>
      <c r="C36" s="440"/>
      <c r="D36" s="233"/>
      <c r="E36" s="267"/>
      <c r="F36" s="392"/>
      <c r="G36" s="392"/>
      <c r="H36" s="512" t="str">
        <f>IF(Tabla278891121136[[#This Row],[Subtype]]="","",VLOOKUP(Tabla278891121136[[#This Row],[Subtype]],'Unit-X00 Equipment'!$E$13:$H$107,4,FALSE))</f>
        <v/>
      </c>
      <c r="I36" s="889"/>
      <c r="J36" s="889"/>
      <c r="K36" s="889"/>
      <c r="L36" s="889"/>
      <c r="M36" s="172"/>
      <c r="N36" s="889"/>
      <c r="O36" s="889"/>
      <c r="P36" s="889"/>
      <c r="Q36" s="169"/>
      <c r="R36" s="503"/>
      <c r="S36" s="217" t="str">
        <f>+IF(Tabla258790120135[[#This Row],[Equipment]]="","",Q36*R36/10^6)</f>
        <v/>
      </c>
      <c r="T36" s="950" t="e">
        <f t="shared" ca="1" si="0"/>
        <v>#VALUE!</v>
      </c>
      <c r="U36" s="105"/>
      <c r="V36" s="499"/>
      <c r="W36" s="1184" t="s">
        <v>785</v>
      </c>
      <c r="X36" s="1185"/>
      <c r="Y36" s="1186"/>
      <c r="AA36" s="1187" t="s">
        <v>813</v>
      </c>
      <c r="AB36" s="1188"/>
      <c r="AC36" s="1189"/>
      <c r="AD36" s="797"/>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IF(Tabla278891121136[[#This Row],[Subtype]]="","",VLOOKUP(Tabla278891121136[[#This Row],[Subtype]],'Unit-X00 Equipment'!$E$13:$H$107,4,FALSE))</f>
        <v/>
      </c>
      <c r="I37" s="889"/>
      <c r="J37" s="889"/>
      <c r="K37" s="889"/>
      <c r="L37" s="889"/>
      <c r="M37" s="172"/>
      <c r="N37" s="889"/>
      <c r="O37" s="889"/>
      <c r="P37" s="889"/>
      <c r="Q37" s="169"/>
      <c r="R37" s="503"/>
      <c r="S37" s="217" t="str">
        <f>+IF(Tabla258790120135[[#This Row],[Equipment]]="","",Q37*R37/10^6)</f>
        <v/>
      </c>
      <c r="T37" s="950" t="e">
        <f t="shared" ca="1" si="0"/>
        <v>#VALUE!</v>
      </c>
      <c r="U37" s="105"/>
      <c r="V37" s="499"/>
      <c r="W37" s="779" t="s">
        <v>776</v>
      </c>
      <c r="X37" s="792">
        <v>782.2</v>
      </c>
      <c r="Y37" s="781" t="s">
        <v>775</v>
      </c>
      <c r="Z37" s="509"/>
      <c r="AA37" s="803" t="s">
        <v>795</v>
      </c>
      <c r="AB37" s="804">
        <v>0.25</v>
      </c>
      <c r="AC37" s="805" t="s">
        <v>354</v>
      </c>
      <c r="AD37" s="514"/>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IF(Tabla278891121136[[#This Row],[Subtype]]="","",VLOOKUP(Tabla278891121136[[#This Row],[Subtype]],'Unit-X00 Equipment'!$E$13:$H$107,4,FALSE))</f>
        <v/>
      </c>
      <c r="I38" s="889"/>
      <c r="J38" s="889"/>
      <c r="K38" s="889"/>
      <c r="L38" s="889"/>
      <c r="M38" s="172"/>
      <c r="N38" s="889"/>
      <c r="O38" s="889"/>
      <c r="P38" s="889"/>
      <c r="Q38" s="169"/>
      <c r="R38" s="503"/>
      <c r="S38" s="217" t="str">
        <f>+IF(Tabla258790120135[[#This Row],[Equipment]]="","",Q38*R38/10^6)</f>
        <v/>
      </c>
      <c r="T38" s="950" t="e">
        <f t="shared" ca="1" si="0"/>
        <v>#VALUE!</v>
      </c>
      <c r="U38" s="105"/>
      <c r="V38" s="499"/>
      <c r="W38" s="782" t="s">
        <v>777</v>
      </c>
      <c r="X38" s="787">
        <v>1025</v>
      </c>
      <c r="Y38" s="783" t="s">
        <v>778</v>
      </c>
      <c r="Z38" s="509"/>
      <c r="AA38" s="791" t="s">
        <v>807</v>
      </c>
      <c r="AB38" s="795">
        <v>7850</v>
      </c>
      <c r="AC38" s="709" t="s">
        <v>808</v>
      </c>
      <c r="AD38" s="507"/>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IF(Tabla278891121136[[#This Row],[Subtype]]="","",VLOOKUP(Tabla278891121136[[#This Row],[Subtype]],'Unit-X00 Equipment'!$E$13:$H$107,4,FALSE))</f>
        <v/>
      </c>
      <c r="I39" s="92"/>
      <c r="J39" s="92"/>
      <c r="K39" s="92"/>
      <c r="L39" s="92"/>
      <c r="M39" s="270"/>
      <c r="N39" s="92"/>
      <c r="O39" s="92"/>
      <c r="P39" s="92"/>
      <c r="Q39" s="271"/>
      <c r="R39" s="504"/>
      <c r="S39" s="217" t="str">
        <f>+IF(Tabla258790120135[[#This Row],[Equipment]]="","",Q39*R39/10^6)</f>
        <v/>
      </c>
      <c r="T39" s="950" t="e">
        <f t="shared" ca="1" si="0"/>
        <v>#VALUE!</v>
      </c>
      <c r="U39" s="105"/>
      <c r="V39" s="499"/>
      <c r="W39" s="782" t="s">
        <v>779</v>
      </c>
      <c r="X39" s="787">
        <v>32.700000000000003</v>
      </c>
      <c r="Y39" s="783" t="s">
        <v>780</v>
      </c>
      <c r="Z39" s="509"/>
      <c r="AA39" s="791" t="s">
        <v>809</v>
      </c>
      <c r="AB39" s="795">
        <v>3</v>
      </c>
      <c r="AC39" s="796" t="s">
        <v>354</v>
      </c>
      <c r="AD39" s="509"/>
      <c r="AE39" s="509"/>
      <c r="AF39" s="386"/>
      <c r="AG39" s="386"/>
      <c r="AH39" s="386"/>
      <c r="AI39" s="386"/>
      <c r="AJ39" s="386"/>
      <c r="AK39" s="386"/>
      <c r="AL39" s="386"/>
      <c r="AM39" s="386"/>
      <c r="AN39" s="509"/>
      <c r="AO39" s="113"/>
      <c r="AP39" s="105"/>
      <c r="AQ39" s="241"/>
      <c r="AR39" s="452"/>
    </row>
    <row r="40" spans="1:44" ht="16.2" customHeight="1" x14ac:dyDescent="0.3">
      <c r="A40" s="83"/>
      <c r="B40" s="104"/>
      <c r="C40" s="93"/>
      <c r="D40" s="234"/>
      <c r="E40" s="948"/>
      <c r="F40" s="949"/>
      <c r="G40" s="949"/>
      <c r="H40" s="512" t="str">
        <f>IF(Tabla278891121136[[#This Row],[Subtype]]="","",VLOOKUP(Tabla278891121136[[#This Row],[Subtype]],'Unit-X00 Equipment'!$E$13:$H$107,4,FALSE))</f>
        <v/>
      </c>
      <c r="I40" s="92"/>
      <c r="J40" s="92"/>
      <c r="K40" s="92"/>
      <c r="L40" s="92"/>
      <c r="M40" s="270"/>
      <c r="N40" s="92"/>
      <c r="O40" s="92"/>
      <c r="P40" s="92"/>
      <c r="Q40" s="271"/>
      <c r="R40" s="504"/>
      <c r="S40" s="217" t="str">
        <f>+IF(Tabla258790120135[[#This Row],[Equipment]]="","",Q40*R40/10^6)</f>
        <v/>
      </c>
      <c r="T40" s="950" t="e">
        <f t="shared" ca="1" si="0"/>
        <v>#VALUE!</v>
      </c>
      <c r="U40" s="105"/>
      <c r="V40" s="499"/>
      <c r="W40" s="782" t="s">
        <v>781</v>
      </c>
      <c r="X40" s="788">
        <f>X37*8.314*(273+X38)/X39/100000</f>
        <v>2.5813968251987767</v>
      </c>
      <c r="Y40" s="783" t="s">
        <v>351</v>
      </c>
      <c r="Z40" s="509"/>
      <c r="AA40" s="791" t="s">
        <v>796</v>
      </c>
      <c r="AB40" s="708">
        <v>0.3</v>
      </c>
      <c r="AC40" s="709" t="s">
        <v>353</v>
      </c>
      <c r="AD40" s="509"/>
      <c r="AE40" s="509"/>
      <c r="AF40" s="509"/>
      <c r="AG40" s="385"/>
      <c r="AH40" s="509"/>
      <c r="AI40" s="385"/>
      <c r="AJ40" s="509"/>
      <c r="AK40" s="385"/>
      <c r="AL40" s="509"/>
      <c r="AM40" s="506"/>
      <c r="AN40" s="385"/>
      <c r="AO40" s="113"/>
      <c r="AP40" s="105"/>
      <c r="AQ40" s="241"/>
      <c r="AR40" s="452"/>
    </row>
    <row r="41" spans="1:44" ht="16.2" customHeight="1" x14ac:dyDescent="0.3">
      <c r="A41" s="83"/>
      <c r="B41" s="104"/>
      <c r="C41" s="255"/>
      <c r="D41" s="233"/>
      <c r="E41" s="267"/>
      <c r="F41" s="392"/>
      <c r="G41" s="392"/>
      <c r="H41" s="512" t="str">
        <f>IF(Tabla278891121136[[#This Row],[Subtype]]="","",VLOOKUP(Tabla278891121136[[#This Row],[Subtype]],'Unit-X00 Equipment'!$E$13:$H$107,4,FALSE))</f>
        <v/>
      </c>
      <c r="I41" s="889"/>
      <c r="J41" s="889"/>
      <c r="K41" s="889"/>
      <c r="L41" s="889"/>
      <c r="M41" s="172"/>
      <c r="N41" s="889"/>
      <c r="O41" s="889"/>
      <c r="P41" s="168"/>
      <c r="Q41" s="169"/>
      <c r="R41" s="503"/>
      <c r="S41" s="217" t="str">
        <f>+IF(Tabla258790120135[[#This Row],[Equipment]]="","",Q41*R41/10^6)</f>
        <v/>
      </c>
      <c r="T41" s="950" t="e">
        <f t="shared" ca="1" si="0"/>
        <v>#VALUE!</v>
      </c>
      <c r="U41" s="105"/>
      <c r="V41" s="499"/>
      <c r="W41" s="782" t="s">
        <v>782</v>
      </c>
      <c r="X41" s="790">
        <v>0.58333000000000002</v>
      </c>
      <c r="Y41" s="783" t="s">
        <v>783</v>
      </c>
      <c r="Z41" s="509"/>
      <c r="AA41" s="384" t="s">
        <v>799</v>
      </c>
      <c r="AB41" s="254">
        <v>2</v>
      </c>
      <c r="AC41" s="763" t="s">
        <v>354</v>
      </c>
      <c r="AD41" s="509"/>
      <c r="AE41" s="509"/>
      <c r="AF41" s="509"/>
      <c r="AG41" s="385"/>
      <c r="AH41" s="509"/>
      <c r="AI41" s="385"/>
      <c r="AJ41" s="509"/>
      <c r="AK41" s="509"/>
      <c r="AL41" s="509"/>
      <c r="AM41" s="509"/>
      <c r="AN41" s="385"/>
      <c r="AO41" s="113"/>
      <c r="AP41" s="105"/>
      <c r="AQ41" s="241"/>
      <c r="AR41" s="452"/>
    </row>
    <row r="42" spans="1:44" ht="16.2" customHeight="1" x14ac:dyDescent="0.3">
      <c r="A42" s="83"/>
      <c r="B42" s="104"/>
      <c r="C42" s="255"/>
      <c r="D42" s="233"/>
      <c r="E42" s="267"/>
      <c r="F42" s="392"/>
      <c r="G42" s="392"/>
      <c r="H42" s="512" t="str">
        <f>IF(Tabla278891121136[[#This Row],[Subtype]]="","",VLOOKUP(Tabla278891121136[[#This Row],[Subtype]],'Unit-X00 Equipment'!$E$13:$H$107,4,FALSE))</f>
        <v/>
      </c>
      <c r="I42" s="889"/>
      <c r="J42" s="889"/>
      <c r="K42" s="889"/>
      <c r="L42" s="889"/>
      <c r="M42" s="172"/>
      <c r="N42" s="889"/>
      <c r="O42" s="889"/>
      <c r="P42" s="392"/>
      <c r="Q42" s="169"/>
      <c r="R42" s="503"/>
      <c r="S42" s="217" t="str">
        <f>+IF(Tabla258790120135[[#This Row],[Equipment]]="","",Q42*R42/10^6)</f>
        <v/>
      </c>
      <c r="T42" s="950" t="e">
        <f t="shared" ca="1" si="0"/>
        <v>#VALUE!</v>
      </c>
      <c r="U42" s="105"/>
      <c r="V42" s="499"/>
      <c r="W42" s="784" t="s">
        <v>784</v>
      </c>
      <c r="X42" s="785">
        <f>X40/X41</f>
        <v>4.4252769876378322</v>
      </c>
      <c r="Y42" s="786" t="s">
        <v>351</v>
      </c>
      <c r="Z42" s="509"/>
      <c r="AA42" s="692" t="s">
        <v>812</v>
      </c>
      <c r="AB42" s="710">
        <v>3446</v>
      </c>
      <c r="AC42" s="711" t="str">
        <f>+AC38</f>
        <v>kg/m3</v>
      </c>
      <c r="AD42" s="509"/>
      <c r="AE42" s="509"/>
      <c r="AF42" s="509"/>
      <c r="AG42" s="385"/>
      <c r="AH42" s="509"/>
      <c r="AI42" s="509"/>
      <c r="AJ42" s="509"/>
      <c r="AK42" s="509"/>
      <c r="AL42" s="509"/>
      <c r="AM42" s="509"/>
      <c r="AN42" s="385"/>
      <c r="AO42" s="113"/>
      <c r="AP42" s="105"/>
      <c r="AQ42" s="241"/>
      <c r="AR42" s="452"/>
    </row>
    <row r="43" spans="1:44" ht="16.2" customHeight="1" x14ac:dyDescent="0.3">
      <c r="A43" s="83"/>
      <c r="B43" s="104"/>
      <c r="C43" s="440"/>
      <c r="D43" s="233"/>
      <c r="E43" s="267"/>
      <c r="F43" s="392"/>
      <c r="G43" s="392"/>
      <c r="H43" s="512" t="str">
        <f>IF(Tabla278891121136[[#This Row],[Subtype]]="","",VLOOKUP(Tabla278891121136[[#This Row],[Subtype]],'Unit-X00 Equipment'!$E$13:$H$107,4,FALSE))</f>
        <v/>
      </c>
      <c r="I43" s="889"/>
      <c r="J43" s="889"/>
      <c r="K43" s="889"/>
      <c r="L43" s="889"/>
      <c r="M43" s="332"/>
      <c r="N43" s="892"/>
      <c r="O43" s="892"/>
      <c r="P43" s="892"/>
      <c r="Q43" s="333"/>
      <c r="R43" s="505"/>
      <c r="S43" s="217" t="str">
        <f>+IF(Tabla258790120135[[#This Row],[Equipment]]="","",Q43*R43/10^6)</f>
        <v/>
      </c>
      <c r="T43" s="950" t="e">
        <f t="shared" ca="1" si="0"/>
        <v>#VALUE!</v>
      </c>
      <c r="U43" s="105"/>
      <c r="V43" s="499"/>
      <c r="W43" s="1190" t="s">
        <v>797</v>
      </c>
      <c r="X43" s="1191"/>
      <c r="Y43" s="1192"/>
      <c r="Z43" s="509"/>
      <c r="AA43" s="369" t="s">
        <v>814</v>
      </c>
      <c r="AB43" s="335">
        <f>+(1-AB37)*(1-0.65)</f>
        <v>0.26249999999999996</v>
      </c>
      <c r="AC43" s="789" t="s">
        <v>354</v>
      </c>
      <c r="AD43" s="509"/>
      <c r="AE43" s="509"/>
      <c r="AF43" s="506"/>
      <c r="AG43" s="385"/>
      <c r="AH43" s="509"/>
      <c r="AI43" s="509"/>
      <c r="AJ43" s="509"/>
      <c r="AK43" s="509"/>
      <c r="AL43" s="509"/>
      <c r="AM43" s="509"/>
      <c r="AN43" s="385"/>
      <c r="AO43" s="113"/>
      <c r="AP43" s="105"/>
      <c r="AQ43" s="241"/>
      <c r="AR43" s="452"/>
    </row>
    <row r="44" spans="1:44" ht="16.2" customHeight="1" x14ac:dyDescent="0.3">
      <c r="A44" s="83"/>
      <c r="B44" s="104"/>
      <c r="C44" s="441"/>
      <c r="D44" s="1103" t="s">
        <v>536</v>
      </c>
      <c r="E44" s="1103"/>
      <c r="F44" s="1103"/>
      <c r="G44" s="1103"/>
      <c r="H44" s="1103"/>
      <c r="I44" s="1103"/>
      <c r="J44" s="1103"/>
      <c r="K44" s="1103"/>
      <c r="L44" s="1103"/>
      <c r="M44" s="1171"/>
      <c r="N44" s="1171"/>
      <c r="O44" s="1171"/>
      <c r="P44" s="1171"/>
      <c r="Q44" s="1171"/>
      <c r="R44" s="1171"/>
      <c r="S44" s="443"/>
      <c r="T44" s="950">
        <f t="shared" ca="1" si="0"/>
        <v>0</v>
      </c>
      <c r="U44" s="105"/>
      <c r="V44" s="499"/>
      <c r="W44" s="779" t="s">
        <v>786</v>
      </c>
      <c r="X44" s="780">
        <v>0.6</v>
      </c>
      <c r="Y44" s="781" t="s">
        <v>787</v>
      </c>
      <c r="Z44" s="509"/>
      <c r="AA44" s="509"/>
      <c r="AB44" s="509"/>
      <c r="AC44" s="509"/>
      <c r="AD44" s="509"/>
      <c r="AE44" s="509"/>
      <c r="AF44" s="506"/>
      <c r="AG44" s="385"/>
      <c r="AH44" s="509"/>
      <c r="AI44" s="509"/>
      <c r="AJ44" s="509"/>
      <c r="AK44" s="509"/>
      <c r="AL44" s="509"/>
      <c r="AM44" s="509"/>
      <c r="AN44" s="385"/>
      <c r="AO44" s="113"/>
      <c r="AP44" s="105"/>
      <c r="AQ44" s="241"/>
      <c r="AR44" s="452"/>
    </row>
    <row r="45" spans="1:44" ht="16.2" customHeight="1" x14ac:dyDescent="0.3">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89" t="s">
        <v>469</v>
      </c>
      <c r="S45" s="589" t="s">
        <v>496</v>
      </c>
      <c r="T45" s="106"/>
      <c r="U45" s="105"/>
      <c r="V45" s="499"/>
      <c r="W45" s="782" t="s">
        <v>788</v>
      </c>
      <c r="X45" s="788">
        <f>X42/X44/(1-AB37)</f>
        <v>9.8339488614174062</v>
      </c>
      <c r="Y45" s="783" t="s">
        <v>352</v>
      </c>
      <c r="Z45" s="509"/>
      <c r="AA45" s="509"/>
      <c r="AB45" s="509"/>
      <c r="AC45" s="509"/>
      <c r="AD45" s="509"/>
      <c r="AE45" s="509"/>
      <c r="AF45" s="506"/>
      <c r="AG45" s="385"/>
      <c r="AH45" s="509"/>
      <c r="AI45" s="509"/>
      <c r="AJ45" s="509"/>
      <c r="AK45" s="509"/>
      <c r="AL45" s="509"/>
      <c r="AM45" s="509"/>
      <c r="AN45" s="385"/>
      <c r="AO45" s="113"/>
      <c r="AP45" s="105"/>
      <c r="AQ45" s="241"/>
      <c r="AR45" s="452"/>
    </row>
    <row r="46" spans="1:44" ht="16.2" customHeight="1" x14ac:dyDescent="0.3">
      <c r="A46" s="83"/>
      <c r="B46" s="104"/>
      <c r="C46" s="384" t="s">
        <v>798</v>
      </c>
      <c r="D46" s="885" t="s">
        <v>792</v>
      </c>
      <c r="E46" s="886"/>
      <c r="F46" s="383" t="s">
        <v>486</v>
      </c>
      <c r="G46" s="383">
        <v>2020</v>
      </c>
      <c r="H46" s="383" t="s">
        <v>477</v>
      </c>
      <c r="I46" s="383" t="s">
        <v>793</v>
      </c>
      <c r="J46" s="279" t="s">
        <v>471</v>
      </c>
      <c r="K46" s="886">
        <v>1</v>
      </c>
      <c r="L46" s="886">
        <v>1</v>
      </c>
      <c r="M46" s="221">
        <v>1</v>
      </c>
      <c r="N46" s="886">
        <v>1</v>
      </c>
      <c r="O46" s="886">
        <f>2000/10^6</f>
        <v>2E-3</v>
      </c>
      <c r="P46" s="794">
        <v>1</v>
      </c>
      <c r="Q46" s="219">
        <f>+(X47+2*AB40)^2*PI()/4*(X48*X47+2*AB40)-F13</f>
        <v>5.0556065829792161</v>
      </c>
      <c r="R46" s="217">
        <f>IF(ISBLANK(Q46),"",(P46/M46)^K46*O46*((Q46/P46)/(N46/M46))^L46)*R14</f>
        <v>0.12133455799150118</v>
      </c>
      <c r="S46" s="217" cm="1">
        <f t="array" aca="1" ref="S46" ca="1">IF(ISBLANK(Q46),"",IF(R46&gt;0,R46*INDIRECT(ADDRESS(MATCH(G46,'Cost Conversion'!$B$3:$B$48,0)+2,4,1,1,"Cost conversion"))*INDIRECT(ADDRESS(MATCH(H46,'Cost Conversion'!$F$3:$F$22,0)+2,8,1,1,"Cost conversion"))/IF(F46="$",'Cost Conversion'!$L$2,1),0))</f>
        <v>0.12133455799150118</v>
      </c>
      <c r="T46" s="947">
        <f ca="1">+S46</f>
        <v>0.12133455799150118</v>
      </c>
      <c r="U46" s="105"/>
      <c r="V46" s="499"/>
      <c r="W46" s="782" t="s">
        <v>789</v>
      </c>
      <c r="X46" s="788">
        <v>12</v>
      </c>
      <c r="Y46" s="783" t="s">
        <v>354</v>
      </c>
      <c r="Z46" s="509"/>
      <c r="AA46" s="509"/>
      <c r="AB46" s="509"/>
      <c r="AC46" s="509"/>
      <c r="AD46" s="509"/>
      <c r="AE46" s="509"/>
      <c r="AF46" s="506"/>
      <c r="AG46" s="385"/>
      <c r="AH46" s="509"/>
      <c r="AI46" s="509"/>
      <c r="AJ46" s="509"/>
      <c r="AK46" s="509"/>
      <c r="AL46" s="509"/>
      <c r="AM46" s="509"/>
      <c r="AN46" s="385"/>
      <c r="AO46" s="113"/>
      <c r="AP46" s="105"/>
      <c r="AQ46" s="241"/>
      <c r="AR46" s="452"/>
    </row>
    <row r="47" spans="1:44" ht="16.2" customHeight="1" x14ac:dyDescent="0.3">
      <c r="A47" s="83"/>
      <c r="B47" s="104"/>
      <c r="C47" s="384" t="s">
        <v>800</v>
      </c>
      <c r="D47" s="888" t="s">
        <v>801</v>
      </c>
      <c r="E47" s="889"/>
      <c r="F47" s="254" t="s">
        <v>486</v>
      </c>
      <c r="G47" s="254">
        <v>2020</v>
      </c>
      <c r="H47" s="254" t="s">
        <v>477</v>
      </c>
      <c r="I47" s="393" t="s">
        <v>802</v>
      </c>
      <c r="J47" s="393" t="s">
        <v>351</v>
      </c>
      <c r="K47" s="889">
        <v>1</v>
      </c>
      <c r="L47" s="889">
        <v>0.6</v>
      </c>
      <c r="M47" s="888">
        <v>1</v>
      </c>
      <c r="N47" s="889">
        <v>1</v>
      </c>
      <c r="O47" s="889">
        <f>150000/10^6</f>
        <v>0.15</v>
      </c>
      <c r="P47" s="889">
        <v>1</v>
      </c>
      <c r="Q47" s="392">
        <f>+X44*X47*X47*PI()/4</f>
        <v>0.49169744307087038</v>
      </c>
      <c r="R47" s="217">
        <f>IF(ISBLANK(Q47),"",(P47/M47)^K47*O47*((Q47/P47)/(N47/M47))^L47)*R14*2</f>
        <v>2.3513716120839607</v>
      </c>
      <c r="S47" s="217" cm="1">
        <f t="array" aca="1" ref="S47" ca="1">IF(ISBLANK(Q47),"",IF(R47&gt;0,R47*INDIRECT(ADDRESS(MATCH(G47,'Cost Conversion'!$B$3:$B$48,0)+2,4,1,1,"Cost conversion"))*INDIRECT(ADDRESS(MATCH(H47,'Cost Conversion'!$F$3:$F$22,0)+2,8,1,1,"Cost conversion"))/IF(F47="$",'Cost Conversion'!$L$2,1),0))</f>
        <v>2.3513716120839607</v>
      </c>
      <c r="T47" s="947">
        <f t="shared" ref="T47:T51" ca="1" si="1">+S47</f>
        <v>2.3513716120839607</v>
      </c>
      <c r="U47" s="105"/>
      <c r="V47" s="499"/>
      <c r="W47" s="782" t="s">
        <v>790</v>
      </c>
      <c r="X47" s="788">
        <f>SQRT(X45/X46*4/PI())</f>
        <v>1.0214765689619763</v>
      </c>
      <c r="Y47" s="783" t="s">
        <v>353</v>
      </c>
      <c r="Z47" s="509"/>
      <c r="AA47" s="509"/>
      <c r="AB47" s="509"/>
      <c r="AC47" s="509"/>
      <c r="AD47" s="509"/>
      <c r="AE47" s="509"/>
      <c r="AF47" s="509"/>
      <c r="AG47" s="509"/>
      <c r="AH47" s="509"/>
      <c r="AI47" s="509"/>
      <c r="AJ47" s="509"/>
      <c r="AK47" s="508"/>
      <c r="AL47" s="508"/>
      <c r="AM47" s="508"/>
      <c r="AN47" s="509"/>
      <c r="AO47" s="113"/>
      <c r="AP47" s="105"/>
      <c r="AQ47" s="241"/>
      <c r="AR47" s="452"/>
    </row>
    <row r="48" spans="1:44" ht="16.2" customHeight="1" x14ac:dyDescent="0.3">
      <c r="A48" s="83"/>
      <c r="B48" s="104"/>
      <c r="C48" s="384" t="s">
        <v>803</v>
      </c>
      <c r="D48" s="888" t="s">
        <v>804</v>
      </c>
      <c r="E48" s="889"/>
      <c r="F48" s="254" t="s">
        <v>455</v>
      </c>
      <c r="G48" s="254">
        <v>2020</v>
      </c>
      <c r="H48" s="254" t="s">
        <v>487</v>
      </c>
      <c r="I48" s="889" t="s">
        <v>805</v>
      </c>
      <c r="J48" s="889" t="s">
        <v>806</v>
      </c>
      <c r="K48" s="889">
        <v>1</v>
      </c>
      <c r="L48" s="889">
        <v>1</v>
      </c>
      <c r="M48" s="888">
        <v>1</v>
      </c>
      <c r="N48" s="889">
        <v>1</v>
      </c>
      <c r="O48" s="793">
        <f>1500/10^6</f>
        <v>1.5E-3</v>
      </c>
      <c r="P48" s="889">
        <v>1</v>
      </c>
      <c r="Q48" s="392">
        <f>+F13*AB37*AB38/1000*R14</f>
        <v>59.140810865339454</v>
      </c>
      <c r="R48" s="217">
        <f>IF(ISBLANK(Q48),"",(P48/M48)^K48*O48*((Q48/P48)/(N48/M48))^L48)*AB39</f>
        <v>0.26613364889402757</v>
      </c>
      <c r="S48" s="217" cm="1">
        <f t="array" aca="1" ref="S48" ca="1">IF(ISBLANK(Q48),"",IF(R48&gt;0,R48*INDIRECT(ADDRESS(MATCH(G48,'Cost Conversion'!$B$3:$B$48,0)+2,4,1,1,"Cost conversion"))*INDIRECT(ADDRESS(MATCH(H48,'Cost Conversion'!$F$3:$F$22,0)+2,8,1,1,"Cost conversion"))/IF(F48="$",'Cost Conversion'!$L$2,1),0))</f>
        <v>0.26613364889402757</v>
      </c>
      <c r="T48" s="947">
        <f t="shared" ca="1" si="1"/>
        <v>0.26613364889402757</v>
      </c>
      <c r="U48" s="105"/>
      <c r="V48" s="120"/>
      <c r="W48" s="784" t="s">
        <v>791</v>
      </c>
      <c r="X48" s="785">
        <v>3</v>
      </c>
      <c r="Y48" s="786" t="s">
        <v>354</v>
      </c>
      <c r="Z48" s="507"/>
      <c r="AA48" s="507"/>
      <c r="AB48" s="507"/>
      <c r="AC48" s="507"/>
      <c r="AD48" s="507"/>
      <c r="AE48" s="507"/>
      <c r="AF48" s="517"/>
      <c r="AG48" s="262" t="s">
        <v>686</v>
      </c>
      <c r="AH48" s="262" t="s">
        <v>359</v>
      </c>
      <c r="AI48" s="1172" t="s">
        <v>579</v>
      </c>
      <c r="AJ48" s="1173"/>
      <c r="AK48" s="1173"/>
      <c r="AL48" s="1173"/>
      <c r="AM48" s="1173"/>
      <c r="AN48" s="1174"/>
      <c r="AO48" s="113"/>
      <c r="AP48" s="105"/>
      <c r="AQ48" s="241"/>
      <c r="AR48" s="452"/>
    </row>
    <row r="49" spans="1:57" ht="16.2" customHeight="1" x14ac:dyDescent="0.3">
      <c r="A49" s="83"/>
      <c r="B49" s="104"/>
      <c r="C49" s="384" t="s">
        <v>810</v>
      </c>
      <c r="D49" s="888" t="s">
        <v>811</v>
      </c>
      <c r="E49" s="889"/>
      <c r="F49" s="254" t="s">
        <v>486</v>
      </c>
      <c r="G49" s="254">
        <v>2020</v>
      </c>
      <c r="H49" s="254" t="s">
        <v>477</v>
      </c>
      <c r="I49" s="889" t="s">
        <v>805</v>
      </c>
      <c r="J49" s="889" t="s">
        <v>806</v>
      </c>
      <c r="K49" s="889">
        <v>1</v>
      </c>
      <c r="L49" s="889">
        <v>1</v>
      </c>
      <c r="M49" s="888">
        <v>1</v>
      </c>
      <c r="N49" s="889">
        <v>1</v>
      </c>
      <c r="O49" s="889">
        <f>15*10^3/10^6</f>
        <v>1.4999999999999999E-2</v>
      </c>
      <c r="P49" s="889">
        <v>1</v>
      </c>
      <c r="Q49" s="392">
        <f>+F13*AB43*AB42/1000*R14</f>
        <v>27.259770185230277</v>
      </c>
      <c r="R49" s="217">
        <f>IF(ISBLANK(Q49),"",(P49/M49)^K49*O49*((Q49/P49)/(N49/M49))^L49)</f>
        <v>0.40889655277845416</v>
      </c>
      <c r="S49" s="217" cm="1">
        <f t="array" aca="1" ref="S49" ca="1">IF(ISBLANK(Q49),"",IF(R49&gt;0,R49*INDIRECT(ADDRESS(MATCH(G49,'Cost Conversion'!$B$3:$B$48,0)+2,4,1,1,"Cost conversion"))*INDIRECT(ADDRESS(MATCH(H49,'Cost Conversion'!$F$3:$F$22,0)+2,8,1,1,"Cost conversion"))/IF(F49="$",'Cost Conversion'!$L$2,1),0))</f>
        <v>0.40889655277845416</v>
      </c>
      <c r="T49" s="947">
        <f t="shared" ca="1" si="1"/>
        <v>0.40889655277845416</v>
      </c>
      <c r="U49" s="105"/>
      <c r="V49" s="120"/>
      <c r="Z49" s="507"/>
      <c r="AA49" s="507"/>
      <c r="AB49" s="507"/>
      <c r="AC49" s="507"/>
      <c r="AD49" s="507"/>
      <c r="AE49" s="507"/>
      <c r="AF49" s="517"/>
      <c r="AG49" s="866">
        <v>4</v>
      </c>
      <c r="AH49" s="917" t="s">
        <v>977</v>
      </c>
      <c r="AI49" s="1177" t="s">
        <v>978</v>
      </c>
      <c r="AJ49" s="1177"/>
      <c r="AK49" s="1177"/>
      <c r="AL49" s="1177"/>
      <c r="AM49" s="1177"/>
      <c r="AN49" s="1177"/>
      <c r="AO49" s="113"/>
      <c r="AP49" s="105"/>
      <c r="AQ49" s="241"/>
      <c r="AR49" s="452"/>
    </row>
    <row r="50" spans="1:57" ht="16.2" customHeight="1" x14ac:dyDescent="0.3">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1.7931514090153915</v>
      </c>
      <c r="S50" s="799" cm="1">
        <f t="array" aca="1" ref="S50" ca="1">IF(ISBLANK(Q50),"",IF(R50&gt;0,R50*INDIRECT(ADDRESS(MATCH(G50,'Cost Conversion'!$B$3:$B$48,0)+2,4,1,1,"Cost conversion"))*INDIRECT(ADDRESS(MATCH(H50,'Cost Conversion'!$F$3:$F$22,0)+2,8,1,1,"Cost conversion"))/IF(F50="$",'Cost Conversion'!$L$2,1),0))</f>
        <v>2.8600378420740036</v>
      </c>
      <c r="T50" s="947">
        <f t="shared" ca="1" si="1"/>
        <v>2.8600378420740036</v>
      </c>
      <c r="U50" s="105"/>
      <c r="V50" s="120"/>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774</v>
      </c>
      <c r="D51" s="801"/>
      <c r="E51" s="802"/>
      <c r="F51" s="802" t="str">
        <f>+F50</f>
        <v>$</v>
      </c>
      <c r="G51" s="802">
        <v>2001</v>
      </c>
      <c r="H51" s="802" t="str">
        <f>+H50</f>
        <v>US Gulf Coast</v>
      </c>
      <c r="I51" s="889"/>
      <c r="J51" s="889"/>
      <c r="K51" s="889"/>
      <c r="L51" s="889"/>
      <c r="M51" s="891"/>
      <c r="N51" s="892"/>
      <c r="O51" s="892"/>
      <c r="P51" s="892"/>
      <c r="Q51" s="800">
        <v>1</v>
      </c>
      <c r="R51" s="799">
        <f>+S14</f>
        <v>1.3876173000803946</v>
      </c>
      <c r="S51" s="799" cm="1">
        <f t="array" aca="1" ref="S51" ca="1">IF(ISBLANK(Q51),"",IF(R51&gt;0,R51*INDIRECT(ADDRESS(MATCH(G51,'Cost Conversion'!$B$3:$B$48,0)+2,4,1,1,"Cost conversion"))*INDIRECT(ADDRESS(MATCH(H51,'Cost Conversion'!$F$3:$F$22,0)+2,8,1,1,"Cost conversion"))/IF(F51="$",'Cost Conversion'!$L$2,1),0))</f>
        <v>2.2132196804985043</v>
      </c>
      <c r="T51" s="947">
        <f t="shared" ca="1" si="1"/>
        <v>2.2132196804985043</v>
      </c>
      <c r="U51" s="105"/>
      <c r="V51" s="120"/>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584</v>
      </c>
      <c r="N52" s="541" t="s">
        <v>463</v>
      </c>
      <c r="O52" s="899" t="s">
        <v>315</v>
      </c>
      <c r="P52" s="1155" t="s">
        <v>476</v>
      </c>
      <c r="Q52" s="1156"/>
      <c r="R52" s="589" t="s">
        <v>639</v>
      </c>
      <c r="S52" s="833" t="s">
        <v>638</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488</v>
      </c>
      <c r="N53" s="531" t="s">
        <v>486</v>
      </c>
      <c r="O53" s="901">
        <v>2001</v>
      </c>
      <c r="P53" s="1077" t="s">
        <v>477</v>
      </c>
      <c r="Q53" s="1079"/>
      <c r="R53" s="551">
        <f>+IF(SUM(S13:S43)&gt;0,IF(G3="Equipment",SUM(S13:S43),"NaN"),"")</f>
        <v>3.1807687090957861</v>
      </c>
      <c r="S53" s="552" cm="1">
        <f t="array" aca="1" ref="S53" ca="1">+IF(R53="",0,R53*INDIRECT(ADDRESS(MATCH(O53,'Cost Conversion'!$B$3:$B$48,0)+2,4,1,1,"Cost conversion"))*INDIRECT(ADDRESS(MATCH(P53,'Cost Conversion'!$F$3:$F$22,0)+2,8,1,1,"Cost conversion"))/IF(N53="$",'Cost Conversion'!$L$2,1))</f>
        <v>5.0732575225725078</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640</v>
      </c>
      <c r="N54" s="140"/>
      <c r="O54" s="146"/>
      <c r="P54" s="1077"/>
      <c r="Q54" s="1079"/>
      <c r="R54" s="551" t="s">
        <v>354</v>
      </c>
      <c r="S54" s="552">
        <f ca="1">+IF(SUM(S46:S49)&gt;=0,SUM(S46:S49),"")</f>
        <v>3.1477363717479432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102" t="str">
        <f>+"BEC Distribution: "&amp;E6</f>
        <v>BEC Distribution: GSR</v>
      </c>
      <c r="C57" s="1103"/>
      <c r="D57" s="1103"/>
      <c r="E57" s="1103"/>
      <c r="F57" s="1103"/>
      <c r="G57" s="1104"/>
      <c r="H57" s="1102" t="str">
        <f>+"Estimate Benchmark: "&amp;E6</f>
        <v>Estimate Benchmark: GSR</v>
      </c>
      <c r="I57" s="1103"/>
      <c r="J57" s="1103"/>
      <c r="K57" s="1103"/>
      <c r="L57" s="1103"/>
      <c r="M57" s="1103"/>
      <c r="N57" s="1104"/>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4" t="s">
        <v>1019</v>
      </c>
      <c r="C81" s="1135"/>
      <c r="D81" s="1135"/>
      <c r="E81" s="1135"/>
      <c r="F81" s="1135"/>
      <c r="G81" s="1136"/>
      <c r="H81" s="631" t="s">
        <v>686</v>
      </c>
      <c r="I81" s="952" t="s">
        <v>359</v>
      </c>
      <c r="J81" s="1181" t="s">
        <v>579</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7"/>
      <c r="C82" s="1138"/>
      <c r="D82" s="1138"/>
      <c r="E82" s="1138"/>
      <c r="F82" s="1138"/>
      <c r="G82" s="1139"/>
      <c r="H82" s="916"/>
      <c r="I82" s="916"/>
      <c r="J82" s="1178"/>
      <c r="K82" s="1179"/>
      <c r="L82" s="1179"/>
      <c r="M82" s="1179"/>
      <c r="N82" s="1180"/>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1">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O6:S9"/>
    <mergeCell ref="B81:G82"/>
    <mergeCell ref="AI49:AN49"/>
    <mergeCell ref="J82:N82"/>
    <mergeCell ref="C6:C7"/>
    <mergeCell ref="C8:C9"/>
    <mergeCell ref="B57:G57"/>
    <mergeCell ref="H57:N57"/>
    <mergeCell ref="J81:N81"/>
    <mergeCell ref="D8:D9"/>
    <mergeCell ref="E8:E9"/>
    <mergeCell ref="W36:Y36"/>
    <mergeCell ref="P52:Q52"/>
    <mergeCell ref="P53:Q53"/>
    <mergeCell ref="P54:Q54"/>
    <mergeCell ref="AA36:AC36"/>
    <mergeCell ref="W43:Y43"/>
  </mergeCells>
  <dataValidations count="10">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2" xr:uid="{410C2B0B-1930-401A-896B-3B17EB2A461B}">
      <formula1>Location</formula1>
    </dataValidation>
    <dataValidation type="list" allowBlank="1" showInputMessage="1" showErrorMessage="1" sqref="G46:G52" xr:uid="{9D7954E4-1ED5-4834-9C98-AD0E40B53897}">
      <formula1>Year</formula1>
    </dataValidation>
    <dataValidation type="list" allowBlank="1" showInputMessage="1" showErrorMessage="1" sqref="F46:F52" xr:uid="{BB14F5C2-043D-4B01-8363-5FBBE32BE183}">
      <formula1>Currency</formula1>
    </dataValidation>
    <dataValidation type="list" allowBlank="1" showInputMessage="1" showErrorMessage="1" sqref="B55" xr:uid="{0B0B4D09-5FCF-41D7-A7FF-EFEEBBBA0FB2}">
      <formula1>Construction</formula1>
    </dataValidation>
    <dataValidation type="list" allowBlank="1" showInputMessage="1" showErrorMessage="1" sqref="B54" xr:uid="{0DA24D6E-84CC-4328-AEAB-5094BF2BD98F}">
      <formula1>Lifetime</formula1>
    </dataValidation>
  </dataValidations>
  <hyperlinks>
    <hyperlink ref="AI49" r:id="rId1" xr:uid="{AD05BD3B-404E-4388-806C-BB1E58869E39}"/>
  </hyperlinks>
  <pageMargins left="0.7" right="0.7" top="0.75" bottom="0.75" header="0.3" footer="0.3"/>
  <pageSetup paperSize="9" orientation="portrait" verticalDpi="1200" r:id="rId2"/>
  <ignoredErrors>
    <ignoredError sqref="T15:T43"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199681" r:id="rId5"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6"/>
    <tablePart r:id="rId7"/>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1F977-056C-40A4-A0BD-3AC629403CB8}">
  <sheetPr codeName="Hoja33"/>
  <dimension ref="A1:BE101"/>
  <sheetViews>
    <sheetView showGridLines="0" zoomScale="40" zoomScaleNormal="40" workbookViewId="0">
      <selection activeCell="S54" sqref="S54"/>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102" t="s">
        <v>270</v>
      </c>
      <c r="D3" s="1103"/>
      <c r="E3" s="1103"/>
      <c r="F3" s="1103"/>
      <c r="G3" s="1102" t="s">
        <v>229</v>
      </c>
      <c r="H3" s="1104"/>
      <c r="I3" s="92"/>
      <c r="J3" s="1102" t="s">
        <v>667</v>
      </c>
      <c r="K3" s="1103"/>
      <c r="L3" s="1103"/>
      <c r="M3" s="1104"/>
      <c r="N3" s="210"/>
      <c r="O3" s="1102" t="str">
        <f>+E6</f>
        <v>Power Cycle</v>
      </c>
      <c r="P3" s="1103"/>
      <c r="Q3" s="1103"/>
      <c r="R3" s="1103"/>
      <c r="S3" s="1104"/>
      <c r="T3" s="106"/>
      <c r="U3" s="106"/>
      <c r="V3" s="112"/>
      <c r="W3" s="1168" t="str">
        <f>+E6&amp;" Diagram"</f>
        <v>Power Cycle Diagram</v>
      </c>
      <c r="X3" s="1169"/>
      <c r="Y3" s="1169"/>
      <c r="Z3" s="1169"/>
      <c r="AA3" s="1169"/>
      <c r="AB3" s="1169"/>
      <c r="AC3" s="1169"/>
      <c r="AD3" s="1169"/>
      <c r="AE3" s="1169"/>
      <c r="AF3" s="1169"/>
      <c r="AG3" s="1169"/>
      <c r="AH3" s="1169"/>
      <c r="AI3" s="1169"/>
      <c r="AJ3" s="1169"/>
      <c r="AK3" s="1169"/>
      <c r="AL3" s="1169"/>
      <c r="AM3" s="1169"/>
      <c r="AN3" s="1170"/>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16" t="s">
        <v>265</v>
      </c>
      <c r="E5" s="1117"/>
      <c r="F5" s="105"/>
      <c r="G5" s="1116" t="s">
        <v>267</v>
      </c>
      <c r="H5" s="1117"/>
      <c r="I5" s="92"/>
      <c r="J5" s="1162"/>
      <c r="K5" s="1163"/>
      <c r="L5" s="214" t="s">
        <v>469</v>
      </c>
      <c r="M5" s="500" t="s">
        <v>503</v>
      </c>
      <c r="N5" s="501"/>
      <c r="O5" s="1039" t="s">
        <v>579</v>
      </c>
      <c r="P5" s="1040"/>
      <c r="Q5" s="1040"/>
      <c r="R5" s="1040"/>
      <c r="S5" s="104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40" t="s">
        <v>495</v>
      </c>
      <c r="D6" s="277" t="s">
        <v>677</v>
      </c>
      <c r="E6" s="548" t="str">
        <f>+'Plant Overview'!V39</f>
        <v>Power Cycle</v>
      </c>
      <c r="F6" s="105"/>
      <c r="G6" s="85"/>
      <c r="H6" s="395" t="s">
        <v>262</v>
      </c>
      <c r="I6" s="92"/>
      <c r="J6" s="1164"/>
      <c r="K6" s="1165"/>
      <c r="L6" s="189" t="s">
        <v>470</v>
      </c>
      <c r="M6" s="86" t="s">
        <v>504</v>
      </c>
      <c r="N6" s="501"/>
      <c r="O6" s="1107" t="str">
        <f>+'Plant Overview'!X39</f>
        <v>Power cycle (Oxidation section)</v>
      </c>
      <c r="P6" s="1108"/>
      <c r="Q6" s="1108"/>
      <c r="R6" s="1108"/>
      <c r="S6" s="110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41"/>
      <c r="D7" s="277" t="s">
        <v>676</v>
      </c>
      <c r="E7" s="548" t="str">
        <f>+'Plant Overview'!W39</f>
        <v>U-300</v>
      </c>
      <c r="F7" s="105"/>
      <c r="G7" s="96"/>
      <c r="H7" s="395" t="s">
        <v>263</v>
      </c>
      <c r="I7" s="92"/>
      <c r="J7" s="1164"/>
      <c r="K7" s="1165"/>
      <c r="L7" s="214" t="s">
        <v>464</v>
      </c>
      <c r="M7" s="500" t="s">
        <v>502</v>
      </c>
      <c r="N7" s="501"/>
      <c r="O7" s="1110"/>
      <c r="P7" s="1111"/>
      <c r="Q7" s="1111"/>
      <c r="R7" s="1111"/>
      <c r="S7" s="1112"/>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119"/>
      <c r="D8" s="1157" t="s">
        <v>312</v>
      </c>
      <c r="E8" s="1159" t="s">
        <v>316</v>
      </c>
      <c r="F8" s="105"/>
      <c r="G8" s="95"/>
      <c r="H8" s="893" t="s">
        <v>264</v>
      </c>
      <c r="I8" s="92"/>
      <c r="J8" s="1164"/>
      <c r="K8" s="1165"/>
      <c r="L8" s="214" t="s">
        <v>465</v>
      </c>
      <c r="M8" s="500" t="s">
        <v>500</v>
      </c>
      <c r="N8" s="501"/>
      <c r="O8" s="1110"/>
      <c r="P8" s="1111"/>
      <c r="Q8" s="1111"/>
      <c r="R8" s="1111"/>
      <c r="S8" s="1112"/>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120"/>
      <c r="D9" s="1158"/>
      <c r="E9" s="1160"/>
      <c r="F9" s="105"/>
      <c r="G9" s="110"/>
      <c r="H9" s="895" t="s">
        <v>268</v>
      </c>
      <c r="I9" s="92"/>
      <c r="J9" s="1166"/>
      <c r="K9" s="1167"/>
      <c r="L9" s="214" t="s">
        <v>466</v>
      </c>
      <c r="M9" s="500" t="s">
        <v>501</v>
      </c>
      <c r="N9" s="501"/>
      <c r="O9" s="1113"/>
      <c r="P9" s="1114"/>
      <c r="Q9" s="1114"/>
      <c r="R9" s="1114"/>
      <c r="S9" s="1115"/>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102" t="s">
        <v>571</v>
      </c>
      <c r="E11" s="1103"/>
      <c r="F11" s="1103"/>
      <c r="G11" s="1103"/>
      <c r="H11" s="1103"/>
      <c r="I11" s="1103"/>
      <c r="J11" s="1103"/>
      <c r="K11" s="1103"/>
      <c r="L11" s="1104"/>
      <c r="M11" s="1102" t="s">
        <v>580</v>
      </c>
      <c r="N11" s="1103"/>
      <c r="O11" s="1103"/>
      <c r="P11" s="1103"/>
      <c r="Q11" s="1103"/>
      <c r="R11" s="1104"/>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946</v>
      </c>
      <c r="D13" s="233" t="s">
        <v>261</v>
      </c>
      <c r="E13" s="267" t="s">
        <v>24</v>
      </c>
      <c r="F13" s="392">
        <f>1000*6.43470230932904</f>
        <v>6434.70230932904</v>
      </c>
      <c r="G13" s="889" t="s">
        <v>354</v>
      </c>
      <c r="H13" s="889" t="s">
        <v>473</v>
      </c>
      <c r="I13" s="889" t="s">
        <v>85</v>
      </c>
      <c r="J13" s="889" t="str">
        <f>+IF(F13&gt;'Equipment Data'!$J$20,"yes","No")</f>
        <v>yes</v>
      </c>
      <c r="K13" s="889">
        <v>0.67</v>
      </c>
      <c r="L13" s="889" t="s">
        <v>354</v>
      </c>
      <c r="M13" s="172">
        <f>+IF(AND(D13="Compressor",E13="Axial"),IF(F13&lt;'Equipment Data'!$J$20,10^('Equipment Data'!$C$20+'Equipment Data'!$D$20*LOG10(F13)+'Equipment Data'!$E$20*LOG10(F13)*LOG10(F13)),10^('Equipment Data'!$C$20+'Equipment Data'!$D$20*LOG10('Equipment Data'!$J$20)+'Equipment Data'!$E$20*LOG10('Equipment Data'!$J$20)*LOG10('Equipment Data'!$J$20))*(F13/'Equipment Data'!$J$20)^K13),"N/A")</f>
        <v>999395.42112821701</v>
      </c>
      <c r="N13" s="889" t="s">
        <v>354</v>
      </c>
      <c r="O13" s="889" t="s">
        <v>354</v>
      </c>
      <c r="P13" s="168">
        <f>+IF(I13="CS",'Equipment Data'!$F$20,IF(I13="SS",'Equipment Data'!$G$20,IF(I13="Ni",'Equipment Data'!$H$20,"N/A")))</f>
        <v>3.83</v>
      </c>
      <c r="Q13" s="169">
        <f t="shared" ref="Q13" si="0">+M13*P13</f>
        <v>3827684.4629210713</v>
      </c>
      <c r="R13" s="502">
        <v>1</v>
      </c>
      <c r="S13" s="223">
        <f>+IF(Tabla2587901201356288[[#This Row],[Equipment]]="","",Q13*R13/10^6)</f>
        <v>3.8276844629210713</v>
      </c>
      <c r="T13" s="950">
        <f ca="1">+S13*$S$53/$R$53</f>
        <v>6.1050742042380461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947</v>
      </c>
      <c r="D14" s="267" t="s">
        <v>148</v>
      </c>
      <c r="E14" s="267" t="s">
        <v>24</v>
      </c>
      <c r="F14" s="392">
        <f>1000*7.51335346342238</f>
        <v>7513.3534634223797</v>
      </c>
      <c r="G14" s="889" t="s">
        <v>354</v>
      </c>
      <c r="H14" s="889" t="s">
        <v>473</v>
      </c>
      <c r="I14" s="889" t="s">
        <v>87</v>
      </c>
      <c r="J14" s="889" t="str">
        <f>+IF(F14&gt;'Equipment Data'!$M$210,"yes","No")</f>
        <v>yes</v>
      </c>
      <c r="K14" s="889">
        <v>0.67</v>
      </c>
      <c r="L14" s="889" t="s">
        <v>354</v>
      </c>
      <c r="M14" s="172">
        <f>+IF(AND(D14="Turbine",E14="Axial"),IF(F14&lt;'Equipment Data'!$M$210,10^('Equipment Data'!$C$210+'Equipment Data'!$D$210*LOG10(F14)+'Equipment Data'!$E$210*LOG10(F14)*LOG10(F14)),10^('Equipment Data'!$C$210+'Equipment Data'!$D$210*LOG10('Equipment Data'!$M$210)+'Equipment Data'!$E$210*LOG10('Equipment Data'!$M$210)*LOG10('Equipment Data'!$M$210))*(F14/'Equipment Data'!$M$210)^K14),"N/A")</f>
        <v>589445.3355333613</v>
      </c>
      <c r="N14" s="889" t="s">
        <v>354</v>
      </c>
      <c r="O14" s="889" t="s">
        <v>354</v>
      </c>
      <c r="P14" s="889">
        <f>+IF(I14="Cl",'Equipment Data'!$F$210,IF(I14="CS",'Equipment Data'!$G$210,IF(I14="Cu",'Equipment Data'!$H$210,IF(I14="SS",'Equipment Data'!$I$210,IF(I14="Ni",'Equipment Data'!$J$210,IF(I14="Ti",'Equipment Data'!$K$210,"N/A"))))))</f>
        <v>6.13</v>
      </c>
      <c r="Q14" s="169">
        <f>+M14*P14</f>
        <v>3613299.9068195047</v>
      </c>
      <c r="R14" s="503">
        <v>1</v>
      </c>
      <c r="S14" s="217">
        <f>+IF(Tabla2587901201356288[[#This Row],[Equipment]]="","",Q14*R14/10^6)</f>
        <v>3.6132999068195049</v>
      </c>
      <c r="T14" s="950">
        <f t="shared" ref="T14:T44" ca="1" si="1">+S14*$S$53/$R$53</f>
        <v>5.7631354587846468</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948</v>
      </c>
      <c r="D15" s="267" t="s">
        <v>252</v>
      </c>
      <c r="E15" s="267" t="s">
        <v>117</v>
      </c>
      <c r="F15" s="392">
        <f>+X39*1000/3600/AD39</f>
        <v>1018.5828667135729</v>
      </c>
      <c r="G15" s="889">
        <v>1</v>
      </c>
      <c r="H15" s="889" t="s">
        <v>352</v>
      </c>
      <c r="I15" s="889" t="s">
        <v>530</v>
      </c>
      <c r="J15" s="889" t="str">
        <f>+IF(F15&gt;'Equipment Data'!$L$126,"yes","No")</f>
        <v>yes</v>
      </c>
      <c r="K15" s="889">
        <v>0.67</v>
      </c>
      <c r="L15" s="889" t="s">
        <v>127</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77921.546927115909</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v>
      </c>
      <c r="O15" s="889">
        <f>+IF(I15="CS/CS",'Equipment Data'!$C$149,IF(I15="CS/Cu",'Equipment Data'!$D$149,IF(I15="Cu/Cu",'Equipment Data'!$E$149,IF(I15="CS/SS",'Equipment Data'!$F$149,IF(I15="SS/SS",'Equipment Data'!$G$149,IF(I15="CS/Ni",'Equipment Data'!$H$149,IF(I15="Ni/Ni",'Equipment Data'!$I$149,IF(I15="CS/Ti",'Equipment Data'!$J$149,IF(I15="Ti/Ti",'Equipment Data'!$K$149,"N/A")))))))))</f>
        <v>1</v>
      </c>
      <c r="P15" s="168">
        <f>+'Equipment Data'!$I$126+'Equipment Data'!$J$126*N15*O15</f>
        <v>3.29</v>
      </c>
      <c r="Q15" s="169">
        <f t="shared" ref="Q15" si="2">+M15*P15</f>
        <v>256361.88939021135</v>
      </c>
      <c r="R15" s="503">
        <v>1</v>
      </c>
      <c r="S15" s="217">
        <f>+IF(Tabla2587901201356288[[#This Row],[Equipment]]="","",Q15*R15/10^6)</f>
        <v>0.25636188939021137</v>
      </c>
      <c r="T15" s="950">
        <f t="shared" ca="1" si="1"/>
        <v>0.40889168713543983</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949</v>
      </c>
      <c r="D16" s="267" t="s">
        <v>269</v>
      </c>
      <c r="E16" s="267" t="s">
        <v>156</v>
      </c>
      <c r="F16" s="913">
        <f>1000*0.000610826415478802</f>
        <v>0.61082641547880201</v>
      </c>
      <c r="G16" s="889">
        <v>6</v>
      </c>
      <c r="H16" s="889" t="s">
        <v>473</v>
      </c>
      <c r="I16" s="889" t="s">
        <v>85</v>
      </c>
      <c r="J16" s="889" t="str">
        <f>+IF(F16&gt;'Equipment Data'!$S$179,"yes","No")</f>
        <v>No</v>
      </c>
      <c r="K16" s="889">
        <v>0.67</v>
      </c>
      <c r="L16" s="889" t="s">
        <v>354</v>
      </c>
      <c r="M16" s="172">
        <f>+IF(AND(D16="Pump",E16="Centrifugal pump"),IF(F16&lt;'Equipment Data'!$S$179,10^('Equipment Data'!$C$179+'Equipment Data'!$D$179*LOG10(F16)+'Equipment Data'!$E$179*LOG10(F16)*LOG10(F16)),10^('Equipment Data'!$C$179+'Equipment Data'!$D$179*LOG10('Equipment Data'!$S$179)+'Equipment Data'!$E$179*LOG10('Equipment Data'!$S$179)*LOG10('Equipment Data'!$S$179))*(F16/'Equipment Data'!$S$179)^K16),"N/A")</f>
        <v>2425.3478255513505</v>
      </c>
      <c r="N16" s="392">
        <f>+IF(G16-1.01325&gt;10,10^('Equipment Data'!$F$179+'Equipment Data'!$G$179*LOG10(G16-1.01325)+'Equipment Data'!$H$179*LOG10(G16-1.01325)*LOG10(G16-1.01325)),1)</f>
        <v>1</v>
      </c>
      <c r="O16" s="889">
        <f>+IF(I16="Cl",'Equipment Data'!$K$179,IF(I16="CS",'Equipment Data'!$L$179,IF(I16="Cu",'Equipment Data'!$M$179,IF(I16="SS",'Equipment Data'!$N$179,IF(I16="Ni",'Equipment Data'!$O$179,IF(I16="Ti",'Equipment Data'!$P$179,"N/A"))))))</f>
        <v>1.55</v>
      </c>
      <c r="P16" s="168">
        <f>+'Equipment Data'!$I$179+'Equipment Data'!$J$179*O16*N16</f>
        <v>3.9824999999999999</v>
      </c>
      <c r="Q16" s="169">
        <f>+P16*M16</f>
        <v>9658.9477152582531</v>
      </c>
      <c r="R16" s="503">
        <v>2</v>
      </c>
      <c r="S16" s="217">
        <f>+IF(Tabla2587901201356288[[#This Row],[Equipment]]="","",Q16*R16/10^6)</f>
        <v>1.9317895430516506E-2</v>
      </c>
      <c r="T16" s="950">
        <f t="shared" ca="1" si="1"/>
        <v>3.081162677213246E-2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950</v>
      </c>
      <c r="D17" s="267" t="s">
        <v>518</v>
      </c>
      <c r="E17" s="267" t="s">
        <v>36</v>
      </c>
      <c r="F17" s="392">
        <f>+F14-F13</f>
        <v>1078.6511540933398</v>
      </c>
      <c r="G17" s="889" t="s">
        <v>354</v>
      </c>
      <c r="H17" s="889" t="s">
        <v>473</v>
      </c>
      <c r="I17" s="889" t="s">
        <v>569</v>
      </c>
      <c r="J17" s="889" t="str">
        <f>+IF(F17&gt;'Equipment Data'!$H$40,"yes","No")</f>
        <v>No</v>
      </c>
      <c r="K17" s="889">
        <v>0.67</v>
      </c>
      <c r="L17" s="889" t="s">
        <v>354</v>
      </c>
      <c r="M17" s="172">
        <f>+IF(AND(D17="Drive",E17="Explosion Proof"),IF(F17&lt;'Equipment Data'!$H$40,10^('Equipment Data'!$C$40+'Equipment Data'!$D$40*LOG10(F17)+'Equipment Data'!$E$40*LOG10(F17)*LOG10(F17)),10^('Equipment Data'!$C$40+LOG10('Equipment Data'!$H$40)*'Equipment Data'!$D$40+'Equipment Data'!$E$40*LOG10('Equipment Data'!$H$40)*LOG10('Equipment Data'!$H$40))*(F17/'Equipment Data'!$H$40)^K17),"N/A")</f>
        <v>128971.87563050321</v>
      </c>
      <c r="N17" s="889" t="s">
        <v>354</v>
      </c>
      <c r="O17" s="889" t="s">
        <v>354</v>
      </c>
      <c r="P17" s="168">
        <f>+'Equipment Data'!$F$40</f>
        <v>1.5</v>
      </c>
      <c r="Q17" s="169">
        <f t="shared" ref="Q17" si="3">+M17*P17</f>
        <v>193457.81344575481</v>
      </c>
      <c r="R17" s="503">
        <v>1</v>
      </c>
      <c r="S17" s="217">
        <f>+IF(Tabla2587901201356288[[#This Row],[Equipment]]="","",Q17*R17/10^6)</f>
        <v>0.19345781344575483</v>
      </c>
      <c r="T17" s="950">
        <f t="shared" ca="1" si="1"/>
        <v>0.30856104203914586</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IF(Tabla2788911211366389[[#This Row],[Subtype]]="","",VLOOKUP(Tabla2788911211366389[[#This Row],[Subtype]],'Unit-X00 Equipment'!$E$13:$H$107,4,FALSE))</f>
        <v/>
      </c>
      <c r="I18" s="889"/>
      <c r="J18" s="889"/>
      <c r="K18" s="889"/>
      <c r="L18" s="392"/>
      <c r="M18" s="269"/>
      <c r="N18" s="392"/>
      <c r="O18" s="392"/>
      <c r="P18" s="392"/>
      <c r="Q18" s="392"/>
      <c r="R18" s="503"/>
      <c r="S18" s="217" t="str">
        <f>+IF(Tabla2587901201356288[[#This Row],[Equipment]]="","",Q18*R18/10^6)</f>
        <v/>
      </c>
      <c r="T18" s="950" t="e">
        <f t="shared" ca="1" si="1"/>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IF(Tabla2788911211366389[[#This Row],[Subtype]]="","",VLOOKUP(Tabla2788911211366389[[#This Row],[Subtype]],'Unit-X00 Equipment'!$E$13:$H$107,4,FALSE))</f>
        <v/>
      </c>
      <c r="I19" s="889"/>
      <c r="J19" s="889"/>
      <c r="K19" s="889"/>
      <c r="L19" s="392"/>
      <c r="M19" s="269"/>
      <c r="N19" s="392"/>
      <c r="O19" s="392"/>
      <c r="P19" s="392"/>
      <c r="Q19" s="392"/>
      <c r="R19" s="503"/>
      <c r="S19" s="217" t="str">
        <f>+IF(Tabla2587901201356288[[#This Row],[Equipment]]="","",Q19*R19/10^6)</f>
        <v/>
      </c>
      <c r="T19" s="950" t="e">
        <f t="shared" ca="1" si="1"/>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IF(Tabla2788911211366389[[#This Row],[Subtype]]="","",VLOOKUP(Tabla2788911211366389[[#This Row],[Subtype]],'Unit-X00 Equipment'!$E$13:$H$107,4,FALSE))</f>
        <v/>
      </c>
      <c r="I20" s="889"/>
      <c r="J20" s="889"/>
      <c r="K20" s="889"/>
      <c r="L20" s="889"/>
      <c r="M20" s="269"/>
      <c r="N20" s="392"/>
      <c r="O20" s="392"/>
      <c r="P20" s="392"/>
      <c r="Q20" s="392"/>
      <c r="R20" s="503"/>
      <c r="S20" s="217" t="str">
        <f>+IF(Tabla2587901201356288[[#This Row],[Equipment]]="","",Q20*R20/10^6)</f>
        <v/>
      </c>
      <c r="T20" s="950" t="e">
        <f t="shared" ca="1" si="1"/>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IF(Tabla2788911211366389[[#This Row],[Subtype]]="","",VLOOKUP(Tabla2788911211366389[[#This Row],[Subtype]],'Unit-X00 Equipment'!$E$13:$H$107,4,FALSE))</f>
        <v/>
      </c>
      <c r="I21" s="889"/>
      <c r="J21" s="889"/>
      <c r="K21" s="889"/>
      <c r="L21" s="889"/>
      <c r="M21" s="269"/>
      <c r="N21" s="392"/>
      <c r="O21" s="392"/>
      <c r="P21" s="392"/>
      <c r="Q21" s="392"/>
      <c r="R21" s="503"/>
      <c r="S21" s="217" t="str">
        <f>+IF(Tabla2587901201356288[[#This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IF(Tabla2788911211366389[[#This Row],[Subtype]]="","",VLOOKUP(Tabla2788911211366389[[#This Row],[Subtype]],'Unit-X00 Equipment'!$E$13:$H$107,4,FALSE))</f>
        <v/>
      </c>
      <c r="I22" s="889"/>
      <c r="J22" s="889"/>
      <c r="K22" s="889"/>
      <c r="L22" s="889"/>
      <c r="M22" s="269"/>
      <c r="N22" s="392"/>
      <c r="O22" s="392"/>
      <c r="P22" s="392"/>
      <c r="Q22" s="392"/>
      <c r="R22" s="503"/>
      <c r="S22" s="217" t="str">
        <f>+IF(Tabla2587901201356288[[#This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IF(Tabla2788911211366389[[#This Row],[Subtype]]="","",VLOOKUP(Tabla2788911211366389[[#This Row],[Subtype]],'Unit-X00 Equipment'!$E$13:$H$107,4,FALSE))</f>
        <v/>
      </c>
      <c r="I23" s="889"/>
      <c r="J23" s="889"/>
      <c r="K23" s="889"/>
      <c r="L23" s="889"/>
      <c r="M23" s="269"/>
      <c r="N23" s="392"/>
      <c r="O23" s="392"/>
      <c r="P23" s="392"/>
      <c r="Q23" s="392"/>
      <c r="R23" s="503"/>
      <c r="S23" s="217" t="str">
        <f>+IF(Tabla2587901201356288[[#This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IF(Tabla2788911211366389[[#This Row],[Subtype]]="","",VLOOKUP(Tabla2788911211366389[[#This Row],[Subtype]],'Unit-X00 Equipment'!$E$13:$H$107,4,FALSE))</f>
        <v/>
      </c>
      <c r="I24" s="889"/>
      <c r="J24" s="889"/>
      <c r="K24" s="889"/>
      <c r="L24" s="889"/>
      <c r="M24" s="269"/>
      <c r="N24" s="392"/>
      <c r="O24" s="392"/>
      <c r="P24" s="392"/>
      <c r="Q24" s="392"/>
      <c r="R24" s="503"/>
      <c r="S24" s="217" t="str">
        <f>+IF(Tabla2587901201356288[[#This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IF(Tabla2788911211366389[[#This Row],[Subtype]]="","",VLOOKUP(Tabla2788911211366389[[#This Row],[Subtype]],'Unit-X00 Equipment'!$E$13:$H$107,4,FALSE))</f>
        <v/>
      </c>
      <c r="I25" s="889"/>
      <c r="J25" s="889"/>
      <c r="K25" s="889"/>
      <c r="L25" s="889"/>
      <c r="M25" s="269"/>
      <c r="N25" s="392"/>
      <c r="O25" s="392"/>
      <c r="P25" s="392"/>
      <c r="Q25" s="392"/>
      <c r="R25" s="503"/>
      <c r="S25" s="217" t="str">
        <f>+IF(Tabla2587901201356288[[#This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IF(Tabla2788911211366389[[#This Row],[Subtype]]="","",VLOOKUP(Tabla2788911211366389[[#This Row],[Subtype]],'Unit-X00 Equipment'!$E$13:$H$107,4,FALSE))</f>
        <v/>
      </c>
      <c r="I26" s="889"/>
      <c r="J26" s="889"/>
      <c r="K26" s="889"/>
      <c r="L26" s="889"/>
      <c r="M26" s="269"/>
      <c r="N26" s="392"/>
      <c r="O26" s="392"/>
      <c r="P26" s="392"/>
      <c r="Q26" s="392"/>
      <c r="R26" s="503"/>
      <c r="S26" s="217" t="str">
        <f>+IF(Tabla2587901201356288[[#This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IF(Tabla2788911211366389[[#This Row],[Subtype]]="","",VLOOKUP(Tabla2788911211366389[[#This Row],[Subtype]],'Unit-X00 Equipment'!$E$13:$H$107,4,FALSE))</f>
        <v/>
      </c>
      <c r="I27" s="889"/>
      <c r="J27" s="889"/>
      <c r="K27" s="889"/>
      <c r="L27" s="889"/>
      <c r="M27" s="269"/>
      <c r="N27" s="392"/>
      <c r="O27" s="392"/>
      <c r="P27" s="392"/>
      <c r="Q27" s="392"/>
      <c r="R27" s="503"/>
      <c r="S27" s="217" t="str">
        <f>+IF(Tabla2587901201356288[[#This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IF(Tabla2788911211366389[[#This Row],[Subtype]]="","",VLOOKUP(Tabla2788911211366389[[#This Row],[Subtype]],'Unit-X00 Equipment'!$E$13:$H$107,4,FALSE))</f>
        <v/>
      </c>
      <c r="I28" s="889"/>
      <c r="J28" s="889"/>
      <c r="K28" s="889"/>
      <c r="L28" s="889"/>
      <c r="M28" s="269"/>
      <c r="N28" s="392"/>
      <c r="O28" s="392"/>
      <c r="P28" s="392"/>
      <c r="Q28" s="392"/>
      <c r="R28" s="503"/>
      <c r="S28" s="217" t="str">
        <f>+IF(Tabla2587901201356288[[#This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IF(Tabla2788911211366389[[#This Row],[Subtype]]="","",VLOOKUP(Tabla2788911211366389[[#This Row],[Subtype]],'Unit-X00 Equipment'!$E$13:$H$107,4,FALSE))</f>
        <v/>
      </c>
      <c r="I29" s="889"/>
      <c r="J29" s="889"/>
      <c r="K29" s="889"/>
      <c r="L29" s="889"/>
      <c r="M29" s="269"/>
      <c r="N29" s="392"/>
      <c r="O29" s="392"/>
      <c r="P29" s="392"/>
      <c r="Q29" s="392"/>
      <c r="R29" s="503"/>
      <c r="S29" s="217" t="str">
        <f>+IF(Tabla2587901201356288[[#This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IF(Tabla2788911211366389[[#This Row],[Subtype]]="","",VLOOKUP(Tabla2788911211366389[[#This Row],[Subtype]],'Unit-X00 Equipment'!$E$13:$H$107,4,FALSE))</f>
        <v/>
      </c>
      <c r="I30" s="889"/>
      <c r="J30" s="889"/>
      <c r="K30" s="889"/>
      <c r="L30" s="889"/>
      <c r="M30" s="269"/>
      <c r="N30" s="392"/>
      <c r="O30" s="392"/>
      <c r="P30" s="392"/>
      <c r="Q30" s="392"/>
      <c r="R30" s="503"/>
      <c r="S30" s="217" t="str">
        <f>+IF(Tabla2587901201356288[[#This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IF(Tabla2788911211366389[[#This Row],[Subtype]]="","",VLOOKUP(Tabla2788911211366389[[#This Row],[Subtype]],'Unit-X00 Equipment'!$E$13:$H$107,4,FALSE))</f>
        <v/>
      </c>
      <c r="I31" s="889"/>
      <c r="J31" s="889"/>
      <c r="K31" s="889"/>
      <c r="L31" s="889"/>
      <c r="M31" s="269"/>
      <c r="N31" s="392"/>
      <c r="O31" s="392"/>
      <c r="P31" s="392"/>
      <c r="Q31" s="392"/>
      <c r="R31" s="503"/>
      <c r="S31" s="217" t="str">
        <f>+IF(Tabla2587901201356288[[#This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IF(Tabla2788911211366389[[#This Row],[Subtype]]="","",VLOOKUP(Tabla2788911211366389[[#This Row],[Subtype]],'Unit-X00 Equipment'!$E$13:$H$107,4,FALSE))</f>
        <v/>
      </c>
      <c r="I32" s="889"/>
      <c r="J32" s="889"/>
      <c r="K32" s="889"/>
      <c r="L32" s="889"/>
      <c r="M32" s="172"/>
      <c r="N32" s="889"/>
      <c r="O32" s="889"/>
      <c r="P32" s="168"/>
      <c r="Q32" s="169"/>
      <c r="R32" s="503"/>
      <c r="S32" s="217" t="str">
        <f>+IF(Tabla2587901201356288[[#This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IF(Tabla2788911211366389[[#This Row],[Subtype]]="","",VLOOKUP(Tabla2788911211366389[[#This Row],[Subtype]],'Unit-X00 Equipment'!$E$13:$H$107,4,FALSE))</f>
        <v/>
      </c>
      <c r="I33" s="889"/>
      <c r="J33" s="889"/>
      <c r="K33" s="889"/>
      <c r="L33" s="889"/>
      <c r="M33" s="172"/>
      <c r="N33" s="889"/>
      <c r="O33" s="889"/>
      <c r="P33" s="392"/>
      <c r="Q33" s="169"/>
      <c r="R33" s="503"/>
      <c r="S33" s="217" t="str">
        <f>+IF(Tabla2587901201356288[[#This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IF(Tabla2788911211366389[[#This Row],[Subtype]]="","",VLOOKUP(Tabla2788911211366389[[#This Row],[Subtype]],'Unit-X00 Equipment'!$E$13:$H$107,4,FALSE))</f>
        <v/>
      </c>
      <c r="I34" s="889"/>
      <c r="J34" s="889"/>
      <c r="K34" s="889"/>
      <c r="L34" s="889"/>
      <c r="M34" s="172"/>
      <c r="N34" s="889"/>
      <c r="O34" s="889"/>
      <c r="P34" s="889"/>
      <c r="Q34" s="169"/>
      <c r="R34" s="503"/>
      <c r="S34" s="217" t="str">
        <f>+IF(Tabla2587901201356288[[#This Row],[Equipment]]="","",Q34*R34/10^6)</f>
        <v/>
      </c>
      <c r="T34" s="950" t="e">
        <f t="shared" ca="1" si="1"/>
        <v>#VALUE!</v>
      </c>
      <c r="U34" s="105"/>
      <c r="V34" s="116"/>
      <c r="W34" s="1096" t="str">
        <f>+E6&amp;" Calculations"</f>
        <v>Power Cycle Calculations</v>
      </c>
      <c r="X34" s="1097"/>
      <c r="Y34" s="1097"/>
      <c r="Z34" s="1097"/>
      <c r="AA34" s="1097"/>
      <c r="AB34" s="1097"/>
      <c r="AC34" s="1097"/>
      <c r="AD34" s="1097"/>
      <c r="AE34" s="1097"/>
      <c r="AF34" s="1097"/>
      <c r="AG34" s="1097"/>
      <c r="AH34" s="1097"/>
      <c r="AI34" s="1097"/>
      <c r="AJ34" s="1097"/>
      <c r="AK34" s="1097"/>
      <c r="AL34" s="1097"/>
      <c r="AM34" s="1097"/>
      <c r="AN34" s="1098"/>
      <c r="AO34" s="113"/>
      <c r="AP34" s="105"/>
      <c r="AQ34" s="241"/>
      <c r="AR34" s="452"/>
    </row>
    <row r="35" spans="1:44" ht="16.2" customHeight="1" x14ac:dyDescent="0.3">
      <c r="A35" s="83"/>
      <c r="B35" s="104"/>
      <c r="C35" s="440"/>
      <c r="D35" s="233"/>
      <c r="E35" s="267"/>
      <c r="F35" s="392"/>
      <c r="G35" s="392"/>
      <c r="H35" s="512" t="str">
        <f>IF(Tabla2788911211366389[[#This Row],[Subtype]]="","",VLOOKUP(Tabla2788911211366389[[#This Row],[Subtype]],'Unit-X00 Equipment'!$E$13:$H$107,4,FALSE))</f>
        <v/>
      </c>
      <c r="I35" s="889"/>
      <c r="J35" s="889"/>
      <c r="K35" s="889"/>
      <c r="L35" s="889"/>
      <c r="M35" s="172"/>
      <c r="N35" s="889"/>
      <c r="O35" s="889"/>
      <c r="P35" s="889"/>
      <c r="Q35" s="169"/>
      <c r="R35" s="503"/>
      <c r="S35" s="217" t="str">
        <f>+IF(Tabla2587901201356288[[#This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IF(Tabla2788911211366389[[#This Row],[Subtype]]="","",VLOOKUP(Tabla2788911211366389[[#This Row],[Subtype]],'Unit-X00 Equipment'!$E$13:$H$107,4,FALSE))</f>
        <v/>
      </c>
      <c r="I36" s="889"/>
      <c r="J36" s="889"/>
      <c r="K36" s="889"/>
      <c r="L36" s="889"/>
      <c r="M36" s="172"/>
      <c r="N36" s="889"/>
      <c r="O36" s="889"/>
      <c r="P36" s="889"/>
      <c r="Q36" s="169"/>
      <c r="R36" s="503"/>
      <c r="S36" s="217" t="str">
        <f>+IF(Tabla2587901201356288[[#This Row],[Equipment]]="","",Q36*R36/10^6)</f>
        <v/>
      </c>
      <c r="T36" s="950" t="e">
        <f t="shared" ca="1" si="1"/>
        <v>#VALUE!</v>
      </c>
      <c r="U36" s="105"/>
      <c r="V36" s="806"/>
      <c r="W36" s="1150" t="s">
        <v>821</v>
      </c>
      <c r="X36" s="1175"/>
      <c r="Y36" s="1175"/>
      <c r="Z36" s="1175"/>
      <c r="AA36" s="1175"/>
      <c r="AB36" s="1175"/>
      <c r="AC36" s="1175"/>
      <c r="AD36" s="1151"/>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IF(Tabla2788911211366389[[#This Row],[Subtype]]="","",VLOOKUP(Tabla2788911211366389[[#This Row],[Subtype]],'Unit-X00 Equipment'!$E$13:$H$107,4,FALSE))</f>
        <v/>
      </c>
      <c r="I37" s="889"/>
      <c r="J37" s="889"/>
      <c r="K37" s="889"/>
      <c r="L37" s="889"/>
      <c r="M37" s="172"/>
      <c r="N37" s="889"/>
      <c r="O37" s="889"/>
      <c r="P37" s="889"/>
      <c r="Q37" s="169"/>
      <c r="R37" s="503"/>
      <c r="S37" s="217" t="str">
        <f>+IF(Tabla2587901201356288[[#This Row],[Equipment]]="","",Q37*R37/10^6)</f>
        <v/>
      </c>
      <c r="T37" s="950" t="e">
        <f t="shared" ca="1" si="1"/>
        <v>#VALUE!</v>
      </c>
      <c r="U37" s="105"/>
      <c r="V37" s="806"/>
      <c r="W37" s="1176" t="s">
        <v>822</v>
      </c>
      <c r="X37" s="1093"/>
      <c r="Y37" s="1094"/>
      <c r="Z37" s="1147" t="s">
        <v>823</v>
      </c>
      <c r="AA37" s="1148"/>
      <c r="AB37" s="1147" t="s">
        <v>824</v>
      </c>
      <c r="AC37" s="1149"/>
      <c r="AD37" s="865" t="s">
        <v>825</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IF(Tabla2788911211366389[[#This Row],[Subtype]]="","",VLOOKUP(Tabla2788911211366389[[#This Row],[Subtype]],'Unit-X00 Equipment'!$E$13:$H$107,4,FALSE))</f>
        <v/>
      </c>
      <c r="I38" s="889"/>
      <c r="J38" s="889"/>
      <c r="K38" s="889"/>
      <c r="L38" s="889"/>
      <c r="M38" s="172"/>
      <c r="N38" s="889"/>
      <c r="O38" s="889"/>
      <c r="P38" s="889"/>
      <c r="Q38" s="169"/>
      <c r="R38" s="503"/>
      <c r="S38" s="217" t="str">
        <f>+IF(Tabla2587901201356288[[#This Row],[Equipment]]="","",Q38*R38/10^6)</f>
        <v/>
      </c>
      <c r="T38" s="950" t="e">
        <f t="shared" ca="1" si="1"/>
        <v>#VALUE!</v>
      </c>
      <c r="U38" s="105"/>
      <c r="V38" s="806"/>
      <c r="W38" s="865" t="s">
        <v>350</v>
      </c>
      <c r="X38" s="865" t="s">
        <v>826</v>
      </c>
      <c r="Y38" s="865" t="s">
        <v>827</v>
      </c>
      <c r="Z38" s="808" t="s">
        <v>828</v>
      </c>
      <c r="AA38" s="808" t="s">
        <v>829</v>
      </c>
      <c r="AB38" s="810" t="s">
        <v>828</v>
      </c>
      <c r="AC38" s="808" t="s">
        <v>829</v>
      </c>
      <c r="AD38" s="186" t="s">
        <v>830</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IF(Tabla2788911211366389[[#This Row],[Subtype]]="","",VLOOKUP(Tabla2788911211366389[[#This Row],[Subtype]],'Unit-X00 Equipment'!$E$13:$H$107,4,FALSE))</f>
        <v/>
      </c>
      <c r="I39" s="92"/>
      <c r="J39" s="92"/>
      <c r="K39" s="92"/>
      <c r="L39" s="92"/>
      <c r="M39" s="270"/>
      <c r="N39" s="92"/>
      <c r="O39" s="92"/>
      <c r="P39" s="92"/>
      <c r="Q39" s="271"/>
      <c r="R39" s="504"/>
      <c r="S39" s="217" t="str">
        <f>+IF(Tabla2587901201356288[[#This Row],[Equipment]]="","",Q39*R39/10^6)</f>
        <v/>
      </c>
      <c r="T39" s="950" t="e">
        <f t="shared" ca="1" si="1"/>
        <v>#VALUE!</v>
      </c>
      <c r="U39" s="105"/>
      <c r="V39" s="806"/>
      <c r="W39" s="865" t="str">
        <f>+C15</f>
        <v>HEX-301</v>
      </c>
      <c r="X39" s="865">
        <v>145511.83810193901</v>
      </c>
      <c r="Y39" s="871" t="s">
        <v>831</v>
      </c>
      <c r="Z39" s="905" t="s">
        <v>832</v>
      </c>
      <c r="AA39" s="953">
        <f t="shared" ref="AA39" si="4">IF(Z39="Ph. Ch.",$Y$52,IF(Z39="Liquid",$Y$51,$Y$49*Z39^$Y$50))</f>
        <v>5000</v>
      </c>
      <c r="AB39" s="894">
        <v>1</v>
      </c>
      <c r="AC39" s="954">
        <f t="shared" ref="AC39" si="5">IF(AB39="Ph. Ch.",$Y$52,IF(AB39="Liquid",$Y$51,$Y$49*AB39^$Y$50))</f>
        <v>40</v>
      </c>
      <c r="AD39" s="955">
        <f>1/(1/AA39+1/AC39)</f>
        <v>39.682539682539684</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IF(Tabla2788911211366389[[#This Row],[Subtype]]="","",VLOOKUP(Tabla2788911211366389[[#This Row],[Subtype]],'Unit-X00 Equipment'!$E$13:$H$107,4,FALSE))</f>
        <v/>
      </c>
      <c r="I40" s="92"/>
      <c r="J40" s="92"/>
      <c r="K40" s="92"/>
      <c r="L40" s="92"/>
      <c r="M40" s="270"/>
      <c r="N40" s="92"/>
      <c r="O40" s="92"/>
      <c r="P40" s="92"/>
      <c r="Q40" s="271"/>
      <c r="R40" s="504"/>
      <c r="S40" s="217" t="str">
        <f>+IF(Tabla2587901201356288[[#This Row],[Equipment]]="","",Q40*R40/10^6)</f>
        <v/>
      </c>
      <c r="T40" s="950" t="e">
        <f t="shared" ca="1" si="1"/>
        <v>#VALUE!</v>
      </c>
      <c r="U40" s="105"/>
      <c r="V40" s="806"/>
      <c r="W40" s="881"/>
      <c r="X40" s="881"/>
      <c r="Y40" s="881"/>
      <c r="Z40" s="881"/>
      <c r="AA40" s="881"/>
      <c r="AB40" s="881"/>
      <c r="AC40" s="881"/>
      <c r="AD40" s="725"/>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IF(Tabla2788911211366389[[#This Row],[Subtype]]="","",VLOOKUP(Tabla2788911211366389[[#This Row],[Subtype]],'Unit-X00 Equipment'!$E$13:$H$107,4,FALSE))</f>
        <v/>
      </c>
      <c r="I41" s="889"/>
      <c r="J41" s="889"/>
      <c r="K41" s="889"/>
      <c r="L41" s="889"/>
      <c r="M41" s="172"/>
      <c r="N41" s="889"/>
      <c r="O41" s="889"/>
      <c r="P41" s="168"/>
      <c r="Q41" s="169"/>
      <c r="R41" s="503"/>
      <c r="S41" s="217" t="str">
        <f>+IF(Tabla2587901201356288[[#This Row],[Equipment]]="","",Q41*R41/10^6)</f>
        <v/>
      </c>
      <c r="T41" s="950" t="e">
        <f t="shared" ca="1" si="1"/>
        <v>#VALUE!</v>
      </c>
      <c r="U41" s="105"/>
      <c r="V41" s="806"/>
      <c r="W41" s="881"/>
      <c r="X41" s="881"/>
      <c r="Y41" s="881"/>
      <c r="Z41" s="881"/>
      <c r="AA41" s="881"/>
      <c r="AB41" s="881"/>
      <c r="AC41" s="881"/>
      <c r="AD41" s="725"/>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IF(Tabla2788911211366389[[#This Row],[Subtype]]="","",VLOOKUP(Tabla2788911211366389[[#This Row],[Subtype]],'Unit-X00 Equipment'!$E$13:$H$107,4,FALSE))</f>
        <v/>
      </c>
      <c r="I42" s="889"/>
      <c r="J42" s="889"/>
      <c r="K42" s="889"/>
      <c r="L42" s="889"/>
      <c r="M42" s="172"/>
      <c r="N42" s="889"/>
      <c r="O42" s="889"/>
      <c r="P42" s="392"/>
      <c r="Q42" s="169"/>
      <c r="R42" s="503"/>
      <c r="S42" s="217" t="str">
        <f>+IF(Tabla2587901201356288[[#This Row],[Equipment]]="","",Q42*R42/10^6)</f>
        <v/>
      </c>
      <c r="T42" s="950" t="e">
        <f t="shared" ca="1" si="1"/>
        <v>#VALUE!</v>
      </c>
      <c r="U42" s="105"/>
      <c r="V42" s="806"/>
      <c r="W42" s="881"/>
      <c r="X42" s="881"/>
      <c r="Y42" s="881"/>
      <c r="Z42" s="881"/>
      <c r="AA42" s="881"/>
      <c r="AB42" s="881"/>
      <c r="AC42" s="881"/>
      <c r="AD42" s="725"/>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IF(Tabla2788911211366389[[#This Row],[Subtype]]="","",VLOOKUP(Tabla2788911211366389[[#This Row],[Subtype]],'Unit-X00 Equipment'!$E$13:$H$107,4,FALSE))</f>
        <v/>
      </c>
      <c r="I43" s="889"/>
      <c r="J43" s="889"/>
      <c r="K43" s="889"/>
      <c r="L43" s="889"/>
      <c r="M43" s="332"/>
      <c r="N43" s="892"/>
      <c r="O43" s="892"/>
      <c r="P43" s="892"/>
      <c r="Q43" s="333"/>
      <c r="R43" s="505"/>
      <c r="S43" s="217" t="str">
        <f>+IF(Tabla2587901201356288[[#This Row],[Equipment]]="","",Q43*R43/10^6)</f>
        <v/>
      </c>
      <c r="T43" s="950" t="e">
        <f t="shared" ca="1" si="1"/>
        <v>#VALUE!</v>
      </c>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103" t="s">
        <v>536</v>
      </c>
      <c r="E44" s="1103"/>
      <c r="F44" s="1103"/>
      <c r="G44" s="1103"/>
      <c r="H44" s="1103"/>
      <c r="I44" s="1103"/>
      <c r="J44" s="1103"/>
      <c r="K44" s="1103"/>
      <c r="L44" s="1103"/>
      <c r="M44" s="1171"/>
      <c r="N44" s="1171"/>
      <c r="O44" s="1171"/>
      <c r="P44" s="1171"/>
      <c r="Q44" s="1171"/>
      <c r="R44" s="1171"/>
      <c r="S44" s="443"/>
      <c r="T44" s="950">
        <f t="shared" ca="1" si="1"/>
        <v>0</v>
      </c>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89" t="s">
        <v>469</v>
      </c>
      <c r="S45" s="589" t="s">
        <v>496</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50" t="s">
        <v>358</v>
      </c>
      <c r="X48" s="1151"/>
      <c r="Y48" s="865" t="s">
        <v>816</v>
      </c>
      <c r="Z48" s="881"/>
      <c r="AA48" s="881"/>
      <c r="AB48" s="881"/>
      <c r="AC48" s="881"/>
      <c r="AD48" s="507"/>
      <c r="AE48" s="507"/>
      <c r="AF48" s="517"/>
      <c r="AG48" s="262" t="s">
        <v>686</v>
      </c>
      <c r="AH48" s="262" t="s">
        <v>359</v>
      </c>
      <c r="AI48" s="1172" t="s">
        <v>579</v>
      </c>
      <c r="AJ48" s="1173"/>
      <c r="AK48" s="1173"/>
      <c r="AL48" s="1173"/>
      <c r="AM48" s="1173"/>
      <c r="AN48" s="1174"/>
      <c r="AO48" s="113"/>
      <c r="AP48" s="105"/>
      <c r="AQ48" s="241"/>
      <c r="AR48" s="452"/>
    </row>
    <row r="49" spans="1:57" ht="16.2" customHeight="1" x14ac:dyDescent="0.3">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52" t="s">
        <v>817</v>
      </c>
      <c r="X49" s="1153"/>
      <c r="Y49" s="807">
        <v>40</v>
      </c>
      <c r="Z49" s="507"/>
      <c r="AA49" s="507"/>
      <c r="AB49" s="507"/>
      <c r="AC49" s="507"/>
      <c r="AD49" s="507"/>
      <c r="AE49" s="507"/>
      <c r="AF49" s="517"/>
      <c r="AG49" s="622"/>
      <c r="AH49" s="623"/>
      <c r="AI49" s="624"/>
      <c r="AJ49" s="624"/>
      <c r="AK49" s="624"/>
      <c r="AL49" s="624"/>
      <c r="AM49" s="624"/>
      <c r="AN49" s="625"/>
      <c r="AO49" s="113"/>
      <c r="AP49" s="105"/>
      <c r="AQ49" s="241"/>
      <c r="AR49" s="452"/>
    </row>
    <row r="50" spans="1:57" ht="16.2" customHeight="1" x14ac:dyDescent="0.3">
      <c r="A50" s="83"/>
      <c r="B50" s="104"/>
      <c r="C50" s="801" t="s">
        <v>255</v>
      </c>
      <c r="D50" s="801"/>
      <c r="E50" s="802"/>
      <c r="F50" s="802">
        <f>+F46</f>
        <v>0</v>
      </c>
      <c r="G50" s="802">
        <v>2001</v>
      </c>
      <c r="H50" s="802">
        <f>+H49</f>
        <v>0</v>
      </c>
      <c r="I50" s="889"/>
      <c r="J50" s="889"/>
      <c r="K50" s="889"/>
      <c r="L50" s="889"/>
      <c r="M50" s="888"/>
      <c r="N50" s="889"/>
      <c r="O50" s="889"/>
      <c r="P50" s="889"/>
      <c r="Q50" s="798">
        <v>1</v>
      </c>
      <c r="R50" s="799">
        <f>+S13</f>
        <v>3.8276844629210713</v>
      </c>
      <c r="S50" s="799" t="e" cm="1">
        <f t="array" aca="1" ref="S50" ca="1">IF(ISBLANK(Q50),"",IF(R50&gt;0,R50*INDIRECT(ADDRESS(MATCH(G50,'Cost Conversion'!$B$3:$B$48,0)+2,4,1,1,"Cost conversion"))*INDIRECT(ADDRESS(MATCH(H50,'Cost Conversion'!$F$3:$F$22,0)+2,8,1,1,"Cost conversion"))/IF(F50="$",'Cost Conversion'!$L$2,1),0))</f>
        <v>#N/A</v>
      </c>
      <c r="T50" s="106"/>
      <c r="U50" s="105"/>
      <c r="V50" s="120"/>
      <c r="W50" s="1146" t="s">
        <v>818</v>
      </c>
      <c r="X50" s="1106"/>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774</v>
      </c>
      <c r="D51" s="801"/>
      <c r="E51" s="802"/>
      <c r="F51" s="802">
        <f>+F50</f>
        <v>0</v>
      </c>
      <c r="G51" s="802">
        <v>2001</v>
      </c>
      <c r="H51" s="802">
        <f>+H50</f>
        <v>0</v>
      </c>
      <c r="I51" s="889"/>
      <c r="J51" s="889"/>
      <c r="K51" s="889"/>
      <c r="L51" s="889"/>
      <c r="M51" s="891"/>
      <c r="N51" s="892"/>
      <c r="O51" s="892"/>
      <c r="P51" s="892"/>
      <c r="Q51" s="800">
        <v>1</v>
      </c>
      <c r="R51" s="799">
        <f>+S14</f>
        <v>3.6132999068195049</v>
      </c>
      <c r="S51" s="799" t="e" cm="1">
        <f t="array" aca="1" ref="S51" ca="1">IF(ISBLANK(Q51),"",IF(R51&gt;0,R51*INDIRECT(ADDRESS(MATCH(G51,'Cost Conversion'!$B$3:$B$48,0)+2,4,1,1,"Cost conversion"))*INDIRECT(ADDRESS(MATCH(H51,'Cost Conversion'!$F$3:$F$22,0)+2,8,1,1,"Cost conversion"))/IF(F51="$",'Cost Conversion'!$L$2,1),0))</f>
        <v>#N/A</v>
      </c>
      <c r="T51" s="106"/>
      <c r="U51" s="105"/>
      <c r="V51" s="120"/>
      <c r="W51" s="1146" t="s">
        <v>819</v>
      </c>
      <c r="X51" s="1106"/>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584</v>
      </c>
      <c r="N52" s="541" t="s">
        <v>463</v>
      </c>
      <c r="O52" s="899" t="s">
        <v>315</v>
      </c>
      <c r="P52" s="1155" t="s">
        <v>476</v>
      </c>
      <c r="Q52" s="1156"/>
      <c r="R52" s="589" t="s">
        <v>639</v>
      </c>
      <c r="S52" s="833" t="s">
        <v>638</v>
      </c>
      <c r="T52" s="106"/>
      <c r="U52" s="105"/>
      <c r="V52" s="120"/>
      <c r="W52" s="1147" t="s">
        <v>820</v>
      </c>
      <c r="X52" s="1148"/>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488</v>
      </c>
      <c r="N53" s="531" t="s">
        <v>486</v>
      </c>
      <c r="O53" s="901">
        <v>2001</v>
      </c>
      <c r="P53" s="1077" t="s">
        <v>477</v>
      </c>
      <c r="Q53" s="1079"/>
      <c r="R53" s="551">
        <f>+IF(SUM(S13:S43)&gt;0,IF(G3="Equipment",SUM(S13:S43),"NaN"),"")</f>
        <v>7.9101219680070587</v>
      </c>
      <c r="S53" s="552" cm="1">
        <f t="array" aca="1" ref="S53" ca="1">+IF(R53="",0,R53*INDIRECT(ADDRESS(MATCH(O53,'Cost Conversion'!$B$3:$B$48,0)+2,4,1,1,"Cost conversion"))*INDIRECT(ADDRESS(MATCH(P53,'Cost Conversion'!$F$3:$F$22,0)+2,8,1,1,"Cost conversion"))/IF(N53="$",'Cost Conversion'!$L$2,1))</f>
        <v>12.616474018969411</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640</v>
      </c>
      <c r="N54" s="140"/>
      <c r="O54" s="146"/>
      <c r="P54" s="1077"/>
      <c r="Q54" s="1079"/>
      <c r="R54" s="551" t="s">
        <v>354</v>
      </c>
      <c r="S54" s="552">
        <f ca="1">+IF(SUM(S46:S49)&gt;=0,SUM(S46:S49),"")</f>
        <v>0</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102" t="str">
        <f>+"BEC Distribution: "&amp;E6</f>
        <v>BEC Distribution: Power Cycle</v>
      </c>
      <c r="C57" s="1103"/>
      <c r="D57" s="1103"/>
      <c r="E57" s="1103"/>
      <c r="F57" s="1103"/>
      <c r="G57" s="1104"/>
      <c r="H57" s="1102" t="str">
        <f>+"Estimate Benchmark: "&amp;E6</f>
        <v>Estimate Benchmark: Power Cycle</v>
      </c>
      <c r="I57" s="1103"/>
      <c r="J57" s="1103"/>
      <c r="K57" s="1103"/>
      <c r="L57" s="1103"/>
      <c r="M57" s="1103"/>
      <c r="N57" s="1104"/>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4" t="s">
        <v>1019</v>
      </c>
      <c r="C81" s="1135"/>
      <c r="D81" s="1135"/>
      <c r="E81" s="1135"/>
      <c r="F81" s="1135"/>
      <c r="G81" s="1136"/>
      <c r="H81" s="128" t="s">
        <v>686</v>
      </c>
      <c r="I81" s="129" t="s">
        <v>359</v>
      </c>
      <c r="J81" s="1181" t="s">
        <v>579</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7"/>
      <c r="C82" s="1138"/>
      <c r="D82" s="1138"/>
      <c r="E82" s="1138"/>
      <c r="F82" s="1138"/>
      <c r="G82" s="1139"/>
      <c r="H82" s="628"/>
      <c r="I82" s="729"/>
      <c r="J82" s="1193"/>
      <c r="K82" s="1194"/>
      <c r="L82" s="1194"/>
      <c r="M82" s="1194"/>
      <c r="N82" s="119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6">
    <mergeCell ref="W36:AD36"/>
    <mergeCell ref="W37:Y37"/>
    <mergeCell ref="Z37:AA37"/>
    <mergeCell ref="AB37:AC37"/>
    <mergeCell ref="W34:AN34"/>
    <mergeCell ref="C3:F3"/>
    <mergeCell ref="G3:H3"/>
    <mergeCell ref="J3:M3"/>
    <mergeCell ref="O3:S3"/>
    <mergeCell ref="W3:AN3"/>
    <mergeCell ref="D5:E5"/>
    <mergeCell ref="G5:H5"/>
    <mergeCell ref="J5:K9"/>
    <mergeCell ref="O5:S5"/>
    <mergeCell ref="C6:C7"/>
    <mergeCell ref="C8:C9"/>
    <mergeCell ref="D8:D9"/>
    <mergeCell ref="E8:E9"/>
    <mergeCell ref="O6:S9"/>
    <mergeCell ref="D11:L11"/>
    <mergeCell ref="M11:R11"/>
    <mergeCell ref="J81:N81"/>
    <mergeCell ref="J82:N82"/>
    <mergeCell ref="D44:R44"/>
    <mergeCell ref="B81:G82"/>
    <mergeCell ref="AI48:AN48"/>
    <mergeCell ref="P52:Q52"/>
    <mergeCell ref="P53:Q53"/>
    <mergeCell ref="P54:Q54"/>
    <mergeCell ref="B57:G57"/>
    <mergeCell ref="H57:N57"/>
    <mergeCell ref="W48:X48"/>
    <mergeCell ref="W49:X49"/>
    <mergeCell ref="W50:X50"/>
    <mergeCell ref="W51:X51"/>
    <mergeCell ref="W52:X52"/>
  </mergeCells>
  <dataValidations count="10">
    <dataValidation type="list" allowBlank="1" showInputMessage="1" showErrorMessage="1" sqref="D22:D43 D13:D20" xr:uid="{2276AB33-E68B-496E-8DE8-48DB95753DE9}">
      <formula1>Equipment</formula1>
    </dataValidation>
    <dataValidation type="list" allowBlank="1" showInputMessage="1" showErrorMessage="1" sqref="E22:E43 E13:E20" xr:uid="{DAC8919F-C68B-4583-A578-D354BF024D35}">
      <formula1>INDIRECT(SUBSTITUTE($D13," ",""))</formula1>
    </dataValidation>
    <dataValidation type="list" allowBlank="1" showInputMessage="1" showErrorMessage="1" sqref="E8:E9" xr:uid="{33B35B2C-3D22-4923-B00D-0B9DD59CF0FF}">
      <formula1>Case</formula1>
    </dataValidation>
    <dataValidation type="list" allowBlank="1" showInputMessage="1" showErrorMessage="1" sqref="E21" xr:uid="{D2142EA5-D28E-4DCD-9B25-D3C1A2376FAA}">
      <formula1>INDIRECT(SUBSTITUTE($D22," ",""))</formula1>
    </dataValidation>
    <dataValidation type="list" allowBlank="1" showInputMessage="1" showErrorMessage="1" sqref="I13:I43" xr:uid="{DA807900-6965-4A09-9E6A-AF55C5DD9BE3}">
      <formula1>INDIRECT(IF($D13="Heat Exchanger",SUBSTITUTE($D13," ","")&amp;"_"&amp;SUBSTITUTE(SUBSTITUTE($E13,",","")," ","")&amp;"_Material",SUBSTITUTE($D13," ","")&amp;"_Material"))</formula1>
    </dataValidation>
    <dataValidation type="list" allowBlank="1" showInputMessage="1" showErrorMessage="1" sqref="H46:H52" xr:uid="{3AC568EE-4AB0-4630-88E3-E97744EF5AF5}">
      <formula1>Location</formula1>
    </dataValidation>
    <dataValidation type="list" allowBlank="1" showInputMessage="1" showErrorMessage="1" sqref="G46:G52" xr:uid="{801E27A0-EF39-454D-81D3-396E089AACDD}">
      <formula1>Year</formula1>
    </dataValidation>
    <dataValidation type="list" allowBlank="1" showInputMessage="1" showErrorMessage="1" sqref="F46:F52" xr:uid="{8898D6F3-6605-4523-A0A0-7C95F261CE21}">
      <formula1>Currency</formula1>
    </dataValidation>
    <dataValidation type="list" allowBlank="1" showInputMessage="1" showErrorMessage="1" sqref="B55" xr:uid="{EF71ABEA-13BE-4575-AD36-F7EDA5BE941B}">
      <formula1>Construction</formula1>
    </dataValidation>
    <dataValidation type="list" allowBlank="1" showInputMessage="1" showErrorMessage="1" sqref="B54" xr:uid="{33428A3E-18D0-49BF-B874-CFC40E0B225C}">
      <formula1>Lifetime</formula1>
    </dataValidation>
  </dataValidations>
  <pageMargins left="0.7" right="0.7" top="0.75" bottom="0.75" header="0.3" footer="0.3"/>
  <pageSetup paperSize="9" orientation="portrait" verticalDpi="1200" r:id="rId1"/>
  <ignoredErrors>
    <ignoredError sqref="S50:S51 T18:T44" evalError="1"/>
    <ignoredError sqref="Q1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EE32F-6BD9-4E89-B3BF-724BF125CB68}">
  <sheetPr codeName="Hoja35"/>
  <dimension ref="A1:BE101"/>
  <sheetViews>
    <sheetView showGridLines="0" zoomScale="40" zoomScaleNormal="40" workbookViewId="0">
      <selection activeCell="S55" sqref="S55"/>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102" t="s">
        <v>270</v>
      </c>
      <c r="D3" s="1103"/>
      <c r="E3" s="1103"/>
      <c r="F3" s="1103"/>
      <c r="G3" s="1102" t="s">
        <v>229</v>
      </c>
      <c r="H3" s="1104"/>
      <c r="I3" s="92"/>
      <c r="J3" s="1102" t="s">
        <v>667</v>
      </c>
      <c r="K3" s="1103"/>
      <c r="L3" s="1103"/>
      <c r="M3" s="1104"/>
      <c r="N3" s="210"/>
      <c r="O3" s="1102" t="str">
        <f>+E6</f>
        <v>WGS</v>
      </c>
      <c r="P3" s="1103"/>
      <c r="Q3" s="1103"/>
      <c r="R3" s="1103"/>
      <c r="S3" s="1104"/>
      <c r="T3" s="106"/>
      <c r="U3" s="106"/>
      <c r="V3" s="112"/>
      <c r="W3" s="1168" t="str">
        <f>+E6&amp;" Diagram"</f>
        <v>WGS Diagram</v>
      </c>
      <c r="X3" s="1169"/>
      <c r="Y3" s="1169"/>
      <c r="Z3" s="1169"/>
      <c r="AA3" s="1169"/>
      <c r="AB3" s="1169"/>
      <c r="AC3" s="1169"/>
      <c r="AD3" s="1169"/>
      <c r="AE3" s="1169"/>
      <c r="AF3" s="1169"/>
      <c r="AG3" s="1169"/>
      <c r="AH3" s="1169"/>
      <c r="AI3" s="1169"/>
      <c r="AJ3" s="1169"/>
      <c r="AK3" s="1169"/>
      <c r="AL3" s="1169"/>
      <c r="AM3" s="1169"/>
      <c r="AN3" s="1170"/>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16" t="s">
        <v>265</v>
      </c>
      <c r="E5" s="1117"/>
      <c r="F5" s="105"/>
      <c r="G5" s="1116" t="s">
        <v>267</v>
      </c>
      <c r="H5" s="1117"/>
      <c r="I5" s="92"/>
      <c r="J5" s="1162"/>
      <c r="K5" s="1163"/>
      <c r="L5" s="214" t="s">
        <v>469</v>
      </c>
      <c r="M5" s="500" t="s">
        <v>503</v>
      </c>
      <c r="N5" s="501"/>
      <c r="O5" s="1039" t="s">
        <v>579</v>
      </c>
      <c r="P5" s="1040"/>
      <c r="Q5" s="1040"/>
      <c r="R5" s="1040"/>
      <c r="S5" s="104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40" t="s">
        <v>495</v>
      </c>
      <c r="D6" s="277" t="s">
        <v>677</v>
      </c>
      <c r="E6" s="548" t="str">
        <f>+'Plant Overview'!V40</f>
        <v>WGS</v>
      </c>
      <c r="F6" s="105"/>
      <c r="G6" s="85"/>
      <c r="H6" s="395" t="s">
        <v>262</v>
      </c>
      <c r="I6" s="92"/>
      <c r="J6" s="1164"/>
      <c r="K6" s="1165"/>
      <c r="L6" s="189" t="s">
        <v>470</v>
      </c>
      <c r="M6" s="86" t="s">
        <v>504</v>
      </c>
      <c r="N6" s="501"/>
      <c r="O6" s="1107" t="str">
        <f>+'Plant Overview'!X40</f>
        <v>Water Gas Shift train</v>
      </c>
      <c r="P6" s="1108"/>
      <c r="Q6" s="1108"/>
      <c r="R6" s="1108"/>
      <c r="S6" s="110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41"/>
      <c r="D7" s="277" t="s">
        <v>676</v>
      </c>
      <c r="E7" s="548" t="str">
        <f>+'Plant Overview'!W40</f>
        <v>U-400</v>
      </c>
      <c r="F7" s="105"/>
      <c r="G7" s="96"/>
      <c r="H7" s="395" t="s">
        <v>263</v>
      </c>
      <c r="I7" s="92"/>
      <c r="J7" s="1164"/>
      <c r="K7" s="1165"/>
      <c r="L7" s="214" t="s">
        <v>464</v>
      </c>
      <c r="M7" s="500" t="s">
        <v>502</v>
      </c>
      <c r="N7" s="501"/>
      <c r="O7" s="1110"/>
      <c r="P7" s="1111"/>
      <c r="Q7" s="1111"/>
      <c r="R7" s="1111"/>
      <c r="S7" s="1112"/>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119"/>
      <c r="D8" s="1157" t="s">
        <v>312</v>
      </c>
      <c r="E8" s="1159" t="s">
        <v>419</v>
      </c>
      <c r="F8" s="105"/>
      <c r="G8" s="95"/>
      <c r="H8" s="893" t="s">
        <v>264</v>
      </c>
      <c r="I8" s="92"/>
      <c r="J8" s="1164"/>
      <c r="K8" s="1165"/>
      <c r="L8" s="214" t="s">
        <v>465</v>
      </c>
      <c r="M8" s="500" t="s">
        <v>500</v>
      </c>
      <c r="N8" s="501"/>
      <c r="O8" s="1110"/>
      <c r="P8" s="1111"/>
      <c r="Q8" s="1111"/>
      <c r="R8" s="1111"/>
      <c r="S8" s="1112"/>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120"/>
      <c r="D9" s="1158"/>
      <c r="E9" s="1160"/>
      <c r="F9" s="105"/>
      <c r="G9" s="110"/>
      <c r="H9" s="895" t="s">
        <v>268</v>
      </c>
      <c r="I9" s="92"/>
      <c r="J9" s="1166"/>
      <c r="K9" s="1167"/>
      <c r="L9" s="214" t="s">
        <v>466</v>
      </c>
      <c r="M9" s="500" t="s">
        <v>501</v>
      </c>
      <c r="N9" s="501"/>
      <c r="O9" s="1113"/>
      <c r="P9" s="1114"/>
      <c r="Q9" s="1114"/>
      <c r="R9" s="1114"/>
      <c r="S9" s="1115"/>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102" t="s">
        <v>571</v>
      </c>
      <c r="E11" s="1103"/>
      <c r="F11" s="1103"/>
      <c r="G11" s="1103"/>
      <c r="H11" s="1103"/>
      <c r="I11" s="1103"/>
      <c r="J11" s="1103"/>
      <c r="K11" s="1103"/>
      <c r="L11" s="1104"/>
      <c r="M11" s="1102" t="s">
        <v>580</v>
      </c>
      <c r="N11" s="1103"/>
      <c r="O11" s="1103"/>
      <c r="P11" s="1103"/>
      <c r="Q11" s="1103"/>
      <c r="R11" s="1104"/>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632"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1014</v>
      </c>
      <c r="D13" s="267" t="s">
        <v>260</v>
      </c>
      <c r="E13" s="267" t="s">
        <v>201</v>
      </c>
      <c r="F13" s="889">
        <f>+X45*(1+X46)</f>
        <v>34.384999999999998</v>
      </c>
      <c r="G13" s="889">
        <v>1</v>
      </c>
      <c r="H13" s="889" t="s">
        <v>471</v>
      </c>
      <c r="I13" s="889" t="s">
        <v>87</v>
      </c>
      <c r="J13" s="889" t="str">
        <f>+IF(F13&gt;'Equipment Data'!$F$239,"yes","No")</f>
        <v>No</v>
      </c>
      <c r="K13" s="889">
        <v>0.67</v>
      </c>
      <c r="L13" s="168">
        <f>+X49</f>
        <v>2.4658430585085549</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27540.490386973466</v>
      </c>
      <c r="N13" s="171">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3.11</v>
      </c>
      <c r="P13" s="169">
        <f>+'Equipment Data'!$C$244+'Equipment Data'!$D$244*N13*O13</f>
        <v>7.9101999999999997</v>
      </c>
      <c r="Q13" s="169">
        <f>+M13*P13</f>
        <v>217850.78705903751</v>
      </c>
      <c r="R13" s="502">
        <v>1</v>
      </c>
      <c r="S13" s="217">
        <f>+IF(Tabla258790120135628891[[#This Row],[Equipment]]="","",Q13*R13/10^6)</f>
        <v>0.21785078705903752</v>
      </c>
      <c r="T13" s="950">
        <f ca="1">+$S$53/$R$53*S13</f>
        <v>0.34746730910836593</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1015</v>
      </c>
      <c r="D14" s="267" t="s">
        <v>260</v>
      </c>
      <c r="E14" s="267" t="s">
        <v>201</v>
      </c>
      <c r="F14" s="392">
        <f>+F13+Q46</f>
        <v>37.747525753139719</v>
      </c>
      <c r="G14" s="889">
        <v>31</v>
      </c>
      <c r="H14" s="889" t="s">
        <v>471</v>
      </c>
      <c r="I14" s="889" t="s">
        <v>85</v>
      </c>
      <c r="J14" s="889" t="str">
        <f>+IF(F14&gt;'Equipment Data'!$F$239,"yes","No")</f>
        <v>No</v>
      </c>
      <c r="K14" s="889">
        <v>0.67</v>
      </c>
      <c r="L14" s="168">
        <f>+L13+2*X51</f>
        <v>2.565843058508555</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29627.355655317366</v>
      </c>
      <c r="N14" s="171">
        <f>+IF(L14="","Input Diameter in m",IF(G14&gt;0.5,IF(((G14*L14)/(2*(850-0.6*G14))+0.00315)/0.0063&lt;1,1,((G14*L14)/(2*(850-0.6*G14))+0.00315)/0.0063),1.25))</f>
        <v>8.0929618442181308</v>
      </c>
      <c r="O14" s="889">
        <f>+IF(I14="CS",'Equipment Data'!$C$247,IF(I14="SS Clad",'Equipment Data'!$C$248,IF(I14="SS",'Equipment Data'!$C$249,IF(I14="Ni Clad",'Equipment Data'!$C$250,IF(I14="Ni",'Equipment Data'!$C$251,IF(I14="Ti Clad",'Equipment Data'!$C$252,IF(I14="Ti",'Equipment Data'!$C$253,"N/A")))))))</f>
        <v>1</v>
      </c>
      <c r="P14" s="169">
        <f>+'Equipment Data'!$C$244+'Equipment Data'!$D$244*N14*O14</f>
        <v>16.979190556477</v>
      </c>
      <c r="Q14" s="169">
        <f>+M14*P14</f>
        <v>503048.51735615009</v>
      </c>
      <c r="R14" s="503">
        <v>1</v>
      </c>
      <c r="S14" s="217">
        <f>+IF(Tabla258790120135628891[[#This Row],[Equipment]]="","",Q14*R14/10^6)</f>
        <v>0.50304851735615008</v>
      </c>
      <c r="T14" s="950">
        <f t="shared" ref="T14:T44" ca="1" si="0">+$S$53/$R$53*S14</f>
        <v>0.80235154087061322</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1016</v>
      </c>
      <c r="D15" s="267" t="s">
        <v>260</v>
      </c>
      <c r="E15" s="267" t="s">
        <v>201</v>
      </c>
      <c r="F15" s="889">
        <f>+X47*(1+X48)</f>
        <v>1.1759999999999999</v>
      </c>
      <c r="G15" s="889">
        <v>1</v>
      </c>
      <c r="H15" s="889" t="s">
        <v>471</v>
      </c>
      <c r="I15" s="889" t="s">
        <v>87</v>
      </c>
      <c r="J15" s="889" t="str">
        <f>+IF(F15&gt;'Equipment Data'!$F$239,"yes","No")</f>
        <v>No</v>
      </c>
      <c r="K15" s="889">
        <v>0.67</v>
      </c>
      <c r="L15" s="168">
        <f>+Y49</f>
        <v>0.9182577726436234</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3384.621322616164</v>
      </c>
      <c r="N15" s="171">
        <f>+IF(L15="","Input Diameter in m",IF(G15&gt;0.5,IF(((G15*L15)/(2*(850-0.6*G15))+0.00315)/0.0063&lt;1,1,((G15*L15)/(2*(850-0.6*G15))+0.00315)/0.0063),1.25))</f>
        <v>1</v>
      </c>
      <c r="O15" s="889">
        <f>+IF(I15="CS",'Equipment Data'!$C$247,IF(I15="SS Clad",'Equipment Data'!$C$248,IF(I15="SS",'Equipment Data'!$C$249,IF(I15="Ni Clad",'Equipment Data'!$C$250,IF(I15="Ni",'Equipment Data'!$C$251,IF(I15="Ti Clad",'Equipment Data'!$C$252,IF(I15="Ti",'Equipment Data'!$C$253,"N/A")))))))</f>
        <v>3.11</v>
      </c>
      <c r="P15" s="169">
        <f>+'Equipment Data'!$C$244+'Equipment Data'!$D$244*N15*O15</f>
        <v>7.9101999999999997</v>
      </c>
      <c r="Q15" s="169">
        <f>+M15*P15</f>
        <v>26773.03158615838</v>
      </c>
      <c r="R15" s="503">
        <v>1</v>
      </c>
      <c r="S15" s="217">
        <f>+IF(Tabla258790120135628891[[#This Row],[Equipment]]="","",Q15*R15/10^6)</f>
        <v>2.6773031586158381E-2</v>
      </c>
      <c r="T15" s="950">
        <f t="shared" ca="1" si="0"/>
        <v>4.2702408228594994E-2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1017</v>
      </c>
      <c r="D16" s="267" t="s">
        <v>260</v>
      </c>
      <c r="E16" s="267" t="s">
        <v>201</v>
      </c>
      <c r="F16" s="889">
        <f>+F15+Q48</f>
        <v>25.245499999999996</v>
      </c>
      <c r="G16" s="889">
        <v>31</v>
      </c>
      <c r="H16" s="889" t="s">
        <v>471</v>
      </c>
      <c r="I16" s="889" t="s">
        <v>85</v>
      </c>
      <c r="J16" s="889" t="str">
        <f>+IF(F16&gt;'Equipment Data'!$F$239,"yes","No")</f>
        <v>No</v>
      </c>
      <c r="K16" s="889">
        <v>0.67</v>
      </c>
      <c r="L16" s="168">
        <f>+L15+2*Y51</f>
        <v>1.0182577726436235</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21749.075013641486</v>
      </c>
      <c r="N16" s="171">
        <f>+IF(L16="","Input Diameter in m",IF(G16&gt;0.5,IF(((G16*L16)/(2*(850-0.6*G16))+0.00315)/0.0063&lt;1,1,((G16*L16)/(2*(850-0.6*G16))+0.00315)/0.0063),1.25))</f>
        <v>3.5132756520797135</v>
      </c>
      <c r="O16" s="889">
        <f>+IF(I16="CS",'Equipment Data'!$C$247,IF(I16="SS Clad",'Equipment Data'!$C$248,IF(I16="SS",'Equipment Data'!$C$249,IF(I16="Ni Clad",'Equipment Data'!$C$250,IF(I16="Ni",'Equipment Data'!$C$251,IF(I16="Ti Clad",'Equipment Data'!$C$252,IF(I16="Ti",'Equipment Data'!$C$253,"N/A")))))))</f>
        <v>1</v>
      </c>
      <c r="P16" s="169">
        <f>+'Equipment Data'!$C$244+'Equipment Data'!$D$244*N16*O16</f>
        <v>8.644161686785079</v>
      </c>
      <c r="Q16" s="169">
        <f>+M16*P16</f>
        <v>188002.52095593439</v>
      </c>
      <c r="R16" s="503">
        <v>1</v>
      </c>
      <c r="S16" s="217">
        <f>+IF(Tabla258790120135628891[[#This Row],[Equipment]]="","",Q16*R16/10^6)</f>
        <v>0.18800252095593439</v>
      </c>
      <c r="T16" s="950">
        <f t="shared" ca="1" si="0"/>
        <v>0.29985996811865873</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255" t="s">
        <v>951</v>
      </c>
      <c r="D17" s="267" t="s">
        <v>252</v>
      </c>
      <c r="E17" s="267" t="s">
        <v>117</v>
      </c>
      <c r="F17" s="168">
        <f>+AC42*1000/3600/AI42</f>
        <v>153.46347689602027</v>
      </c>
      <c r="G17" s="889">
        <f>+AG42</f>
        <v>35</v>
      </c>
      <c r="H17" s="889" t="s">
        <v>352</v>
      </c>
      <c r="I17" s="889" t="s">
        <v>474</v>
      </c>
      <c r="J17" s="889" t="str">
        <f>+IF(F17&gt;'Equipment Data'!$L$126,"yes","No")</f>
        <v>No</v>
      </c>
      <c r="K17" s="889">
        <v>0.67</v>
      </c>
      <c r="L17" s="889" t="s">
        <v>529</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27743.845485820431</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1.143101245376539</v>
      </c>
      <c r="O17" s="889">
        <f>+IF(I17="CS/CS",'Equipment Data'!$C$149,IF(I17="CS/Cu",'Equipment Data'!$D$149,IF(I17="Cu/Cu",'Equipment Data'!$E$149,IF(I17="CS/SS",'Equipment Data'!$F$149,IF(I17="SS/SS",'Equipment Data'!$G$149,IF(I17="CS/Ni",'Equipment Data'!$H$149,IF(I17="Ni/Ni",'Equipment Data'!$I$149,IF(I17="CS/Ti",'Equipment Data'!$J$149,IF(I17="Ti/Ti",'Equipment Data'!$K$149,"N/A")))))))))</f>
        <v>1.81</v>
      </c>
      <c r="P17" s="168">
        <f>+'Equipment Data'!$I$126+'Equipment Data'!$J$126*N17*O17</f>
        <v>5.0645620018583486</v>
      </c>
      <c r="Q17" s="169">
        <f t="shared" ref="Q17:Q19" si="1">+M17*P17</f>
        <v>140510.42563291543</v>
      </c>
      <c r="R17" s="503">
        <v>1</v>
      </c>
      <c r="S17" s="217">
        <f>+IF(Tabla258790120135628891[[#This Row],[Equipment]]="","",Q17*R17/10^6)</f>
        <v>0.14051042563291544</v>
      </c>
      <c r="T17" s="950">
        <f t="shared" ca="1" si="0"/>
        <v>0.22411109987456382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952</v>
      </c>
      <c r="D18" s="267" t="s">
        <v>252</v>
      </c>
      <c r="E18" s="267" t="s">
        <v>117</v>
      </c>
      <c r="F18" s="168">
        <f>+AC43*1000/3600/AI43</f>
        <v>78.414003570214206</v>
      </c>
      <c r="G18" s="889">
        <f>+AG43</f>
        <v>35</v>
      </c>
      <c r="H18" s="889" t="s">
        <v>352</v>
      </c>
      <c r="I18" s="889" t="s">
        <v>474</v>
      </c>
      <c r="J18" s="889" t="str">
        <f>+IF(F18&gt;'Equipment Data'!$L$126,"yes","No")</f>
        <v>No</v>
      </c>
      <c r="K18" s="889">
        <v>0.67</v>
      </c>
      <c r="L18" s="889" t="s">
        <v>529</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21731.852972721459</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1.143101245376539</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5.0645620018583486</v>
      </c>
      <c r="Q18" s="169">
        <f t="shared" si="1"/>
        <v>110062.3167956175</v>
      </c>
      <c r="R18" s="503">
        <v>1</v>
      </c>
      <c r="S18" s="217">
        <f>+IF(Tabla258790120135628891[[#This Row],[Equipment]]="","",Q18*R18/10^6)</f>
        <v>0.1100623167956175</v>
      </c>
      <c r="T18" s="950">
        <f t="shared" ca="1" si="0"/>
        <v>0.17554702265473965</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t="s">
        <v>953</v>
      </c>
      <c r="D19" s="267" t="s">
        <v>252</v>
      </c>
      <c r="E19" s="267" t="s">
        <v>117</v>
      </c>
      <c r="F19" s="168">
        <f>+AC44*1000/3600/AI44</f>
        <v>132.32653850048752</v>
      </c>
      <c r="G19" s="889">
        <f>+AG44</f>
        <v>37</v>
      </c>
      <c r="H19" s="889" t="s">
        <v>352</v>
      </c>
      <c r="I19" s="889" t="s">
        <v>474</v>
      </c>
      <c r="J19" s="889" t="str">
        <f>+IF(F19&gt;'Equipment Data'!$L$126,"yes","No")</f>
        <v>No</v>
      </c>
      <c r="K19" s="889">
        <v>0.67</v>
      </c>
      <c r="L19" s="889" t="s">
        <v>529</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26143.72167947211</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1.1522838745948574</v>
      </c>
      <c r="O19" s="889">
        <f>+IF(I19="CS/CS",'Equipment Data'!$C$149,IF(I19="CS/Cu",'Equipment Data'!$D$149,IF(I19="Cu/Cu",'Equipment Data'!$E$149,IF(I19="CS/SS",'Equipment Data'!$F$149,IF(I19="SS/SS",'Equipment Data'!$G$149,IF(I19="CS/Ni",'Equipment Data'!$H$149,IF(I19="Ni/Ni",'Equipment Data'!$I$149,IF(I19="CS/Ti",'Equipment Data'!$J$149,IF(I19="Ti/Ti",'Equipment Data'!$K$149,"N/A")))))))))</f>
        <v>1.81</v>
      </c>
      <c r="P19" s="168">
        <f>+'Equipment Data'!$I$126+'Equipment Data'!$J$126*N19*O19</f>
        <v>5.0921521296077081</v>
      </c>
      <c r="Q19" s="169">
        <f t="shared" si="1"/>
        <v>133127.80802599512</v>
      </c>
      <c r="R19" s="503">
        <v>1</v>
      </c>
      <c r="S19" s="217">
        <f>+IF(Tabla258790120135628891[[#This Row],[Equipment]]="","",Q19*R19/10^6)</f>
        <v>0.13312780802599514</v>
      </c>
      <c r="T19" s="950">
        <f t="shared" ca="1" si="0"/>
        <v>0.21233598394001607</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954</v>
      </c>
      <c r="D20" s="267" t="s">
        <v>269</v>
      </c>
      <c r="E20" s="267" t="s">
        <v>156</v>
      </c>
      <c r="F20" s="168">
        <f>1000*0.0150327479715578</f>
        <v>15.0327479715578</v>
      </c>
      <c r="G20" s="889">
        <v>35</v>
      </c>
      <c r="H20" s="889" t="s">
        <v>473</v>
      </c>
      <c r="I20" s="889" t="s">
        <v>85</v>
      </c>
      <c r="J20" s="889" t="str">
        <f>+IF(F20&gt;'Equipment Data'!$S$179,"yes","No")</f>
        <v>No</v>
      </c>
      <c r="K20" s="889">
        <v>0.67</v>
      </c>
      <c r="L20" s="889" t="s">
        <v>354</v>
      </c>
      <c r="M20" s="172">
        <f>+IF(AND(D20="Pump",E20="Centrifugal pump"),IF(F20&lt;'Equipment Data'!$S$179,10^('Equipment Data'!$C$179+'Equipment Data'!$D$179*LOG10(F20)+'Equipment Data'!$E$179*LOG10(F20)*LOG10(F20)),10^('Equipment Data'!$C$179+'Equipment Data'!$D$179*LOG10('Equipment Data'!$S$179)+'Equipment Data'!$E$179*LOG10('Equipment Data'!$S$179)*LOG10('Equipment Data'!$S$179))*(F20/'Equipment Data'!$S$179)^K20),"N/A")</f>
        <v>4627.7165614801661</v>
      </c>
      <c r="N20" s="392">
        <f>+IF(G20-1.01325&gt;10,10^('Equipment Data'!$F$179+'Equipment Data'!$G$179*LOG10(G20-1.01325)+'Equipment Data'!$H$179*LOG10(G20-1.01325)*LOG10(G20-1.01325)),1)</f>
        <v>1.6111639225939316</v>
      </c>
      <c r="O20" s="889">
        <f>+IF(I20="Cl",'Equipment Data'!$K$179,IF(I20="CS",'Equipment Data'!$L$179,IF(I20="Cu",'Equipment Data'!$M$179,IF(I20="SS",'Equipment Data'!$N$179,IF(I20="Ni",'Equipment Data'!$O$179,IF(I20="Ti",'Equipment Data'!$P$179,"N/A"))))))</f>
        <v>1.55</v>
      </c>
      <c r="P20" s="168">
        <f>+'Equipment Data'!$I$179+'Equipment Data'!$J$179*O20*N20</f>
        <v>5.2613605080278019</v>
      </c>
      <c r="Q20" s="169">
        <f>+P20*M20</f>
        <v>24348.085158917958</v>
      </c>
      <c r="R20" s="503">
        <v>2</v>
      </c>
      <c r="S20" s="217">
        <f>+IF(Tabla258790120135628891[[#This Row],[Equipment]]="","",Q20*R20/10^6)</f>
        <v>4.8696170317835914E-2</v>
      </c>
      <c r="T20" s="950">
        <f t="shared" ca="1" si="0"/>
        <v>7.7669341904354566E-2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t="s">
        <v>955</v>
      </c>
      <c r="D21" s="267" t="s">
        <v>260</v>
      </c>
      <c r="E21" s="267" t="s">
        <v>201</v>
      </c>
      <c r="F21" s="168">
        <f>+AJ38+AI38</f>
        <v>3.8054797693194891</v>
      </c>
      <c r="G21" s="889">
        <f>+AK38</f>
        <v>32</v>
      </c>
      <c r="H21" s="889" t="s">
        <v>471</v>
      </c>
      <c r="I21" s="889" t="s">
        <v>188</v>
      </c>
      <c r="J21" s="889" t="str">
        <f>+IF(F21&gt;'Equipment Data'!$F$239,"yes","No")</f>
        <v>No</v>
      </c>
      <c r="K21" s="889">
        <v>0.67</v>
      </c>
      <c r="L21" s="168">
        <f>+AG38</f>
        <v>1.5656441519246782</v>
      </c>
      <c r="M21" s="172">
        <f>+IF(AND(D21="Vessel",E21="Vertical"),IF(F21&lt;'Equipment Data'!$F$239,10^('Equipment Data'!$B$239+'Equipment Data'!$C$239*LOG10(F21)+'Equipment Data'!$D$239*LOG10(F21)*LOG10(F21)),10^('Equipment Data'!$B$239+'Equipment Data'!$C$239*LOG10('Equipment Data'!$F$239)+'Equipment Data'!$D$239*LOG10('Equipment Data'!$F$239)*LOG10('Equipment Data'!$F$239))*(F21/'Equipment Data'!$F$239)^K21),"N/A")</f>
        <v>6221.4842871227729</v>
      </c>
      <c r="N21" s="171">
        <f>+IF(L21="","Input Diameter in m",IF(G21&gt;0.5,IF(((G21*L21)/(2*(850-0.6*G21))+0.00315)/0.0063&lt;1,1,((G21*L21)/(2*(850-0.6*G21))+0.00315)/0.0063),1.25))</f>
        <v>5.2860364901290122</v>
      </c>
      <c r="O21" s="889">
        <f>+IF(I21="CS",'Equipment Data'!$C$247,IF(I21="SS Clad",'Equipment Data'!$C$248,IF(I21="SS",'Equipment Data'!$C$249,IF(I21="Ni Clad",'Equipment Data'!$C$250,IF(I21="Ni",'Equipment Data'!$C$251,IF(I21="Ti Clad",'Equipment Data'!$C$252,IF(I21="Ti",'Equipment Data'!$C$253,"N/A")))))))</f>
        <v>1.74</v>
      </c>
      <c r="P21" s="169">
        <f>+'Equipment Data'!$C$244+'Equipment Data'!$D$244*N21*O21</f>
        <v>18.989820356940555</v>
      </c>
      <c r="Q21" s="169">
        <f>+M21*P21</f>
        <v>118144.86896598984</v>
      </c>
      <c r="R21" s="503">
        <v>1</v>
      </c>
      <c r="S21" s="217">
        <f>+IF(Tabla258790120135628891[[#This Row],[Equipment]]="","",Q21*R21/10^6)</f>
        <v>0.11814486896598984</v>
      </c>
      <c r="T21" s="950">
        <f t="shared" ca="1" si="0"/>
        <v>0.18843851912937107</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t="s">
        <v>963</v>
      </c>
      <c r="D22" s="267" t="s">
        <v>252</v>
      </c>
      <c r="E22" s="267" t="s">
        <v>117</v>
      </c>
      <c r="F22" s="392">
        <f>+AC45/3600*1000/AI45</f>
        <v>100.39594446211946</v>
      </c>
      <c r="G22" s="889">
        <v>30</v>
      </c>
      <c r="H22" s="889" t="s">
        <v>352</v>
      </c>
      <c r="I22" s="889" t="s">
        <v>474</v>
      </c>
      <c r="J22" s="889" t="str">
        <f>+IF(F22&gt;'Equipment Data'!$L$126,"yes","No")</f>
        <v>No</v>
      </c>
      <c r="K22" s="889">
        <v>0.67</v>
      </c>
      <c r="L22" s="889" t="s">
        <v>127</v>
      </c>
      <c r="M22" s="172">
        <f>+IF(AND(D22="Heat Exchanger",E22="Fixed tube, sheet, or U tube"),IF(F22&lt;'Equipment Data'!$L$126,10^('Equipment Data'!$C$126+'Equipment Data'!$D$126*LOG10(F22)+'Equipment Data'!$E$126*LOG10(F22)*LOG10(F22)),10^('Equipment Data'!$C$126+'Equipment Data'!$D$126*LOG10('Equipment Data'!$L$126)+'Equipment Data'!$E$126*LOG10('Equipment Data'!$L$126)*LOG10('Equipment Data'!$L$126))*(F22/'Equipment Data'!$L$126)^K22),"N/A")</f>
        <v>23599.465690513207</v>
      </c>
      <c r="N22" s="168">
        <f>+IF(L22="","Input: shell and tube / tube only",IF(L22="shell and tube",IF(G22-1&gt;5,10^('Equipment Data'!$F$126+'Equipment Data'!$G$126*LOG10(G22-1.01325)+'Equipment Data'!$H$126*LOG10(G22-1.01325)*LOG10(G22-1.01325)),1),IF(G22-1.01325&gt;5,10^('Equipment Data'!$F$127+'Equipment Data'!$G$127*LOG10(G22-1.01325)+'Equipment Data'!$H$127*LOG10(G22-1.01325)*LOG10(G22-1.01325)),1)))</f>
        <v>1.0363101376098447</v>
      </c>
      <c r="O22" s="889">
        <f>+IF(I22="CS/CS",'Equipment Data'!$C$149,IF(I22="CS/Cu",'Equipment Data'!$D$149,IF(I22="Cu/Cu",'Equipment Data'!$E$149,IF(I22="CS/SS",'Equipment Data'!$F$149,IF(I22="SS/SS",'Equipment Data'!$G$149,IF(I22="CS/Ni",'Equipment Data'!$H$149,IF(I22="Ni/Ni",'Equipment Data'!$I$149,IF(I22="CS/Ti",'Equipment Data'!$J$149,IF(I22="Ti/Ti",'Equipment Data'!$K$149,"N/A")))))))))</f>
        <v>1.81</v>
      </c>
      <c r="P22" s="168">
        <f>+'Equipment Data'!$I$126+'Equipment Data'!$J$126*N22*O22</f>
        <v>4.7436974394625393</v>
      </c>
      <c r="Q22" s="169">
        <f t="shared" ref="Q22" si="2">+M22*P22</f>
        <v>111948.72496877155</v>
      </c>
      <c r="R22" s="503">
        <v>1</v>
      </c>
      <c r="S22" s="217">
        <f>+IF(Tabla258790120135628891[[#This Row],[Equipment]]="","",Q22*R22/10^6)</f>
        <v>0.11194872496877155</v>
      </c>
      <c r="T22" s="950">
        <f t="shared" ca="1" si="0"/>
        <v>0.17855580302526103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IF(Tabla278891121136638992[[#This Row],[Subtype]]="","",VLOOKUP(Tabla278891121136638992[[#This Row],[Subtype]],'Unit-X00 Equipment'!$E$13:$H$107,4,FALSE))</f>
        <v/>
      </c>
      <c r="I23" s="889"/>
      <c r="J23" s="889"/>
      <c r="K23" s="889"/>
      <c r="L23" s="889"/>
      <c r="M23" s="269"/>
      <c r="N23" s="392"/>
      <c r="O23" s="392"/>
      <c r="P23" s="392"/>
      <c r="Q23" s="392"/>
      <c r="R23" s="503"/>
      <c r="S23" s="217" t="str">
        <f>+IF(Tabla258790120135628891[[#This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IF(Tabla278891121136638992[[#This Row],[Subtype]]="","",VLOOKUP(Tabla278891121136638992[[#This Row],[Subtype]],'Unit-X00 Equipment'!$E$13:$H$107,4,FALSE))</f>
        <v/>
      </c>
      <c r="I24" s="889"/>
      <c r="J24" s="889"/>
      <c r="K24" s="889"/>
      <c r="L24" s="889"/>
      <c r="M24" s="269"/>
      <c r="N24" s="392"/>
      <c r="O24" s="392"/>
      <c r="P24" s="392"/>
      <c r="Q24" s="392"/>
      <c r="R24" s="503"/>
      <c r="S24" s="217" t="str">
        <f>+IF(Tabla258790120135628891[[#This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IF(Tabla278891121136638992[[#This Row],[Subtype]]="","",VLOOKUP(Tabla278891121136638992[[#This Row],[Subtype]],'Unit-X00 Equipment'!$E$13:$H$107,4,FALSE))</f>
        <v/>
      </c>
      <c r="I25" s="889"/>
      <c r="J25" s="889"/>
      <c r="K25" s="889"/>
      <c r="L25" s="889"/>
      <c r="M25" s="269"/>
      <c r="N25" s="392"/>
      <c r="O25" s="392"/>
      <c r="P25" s="392"/>
      <c r="Q25" s="392"/>
      <c r="R25" s="503"/>
      <c r="S25" s="217" t="str">
        <f>+IF(Tabla258790120135628891[[#This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IF(Tabla278891121136638992[[#This Row],[Subtype]]="","",VLOOKUP(Tabla278891121136638992[[#This Row],[Subtype]],'Unit-X00 Equipment'!$E$13:$H$107,4,FALSE))</f>
        <v/>
      </c>
      <c r="I26" s="889"/>
      <c r="J26" s="889"/>
      <c r="K26" s="889"/>
      <c r="L26" s="889"/>
      <c r="M26" s="269"/>
      <c r="N26" s="392"/>
      <c r="O26" s="392"/>
      <c r="P26" s="392"/>
      <c r="Q26" s="392"/>
      <c r="R26" s="503"/>
      <c r="S26" s="217" t="str">
        <f>+IF(Tabla258790120135628891[[#This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IF(Tabla278891121136638992[[#This Row],[Subtype]]="","",VLOOKUP(Tabla278891121136638992[[#This Row],[Subtype]],'Unit-X00 Equipment'!$E$13:$H$107,4,FALSE))</f>
        <v/>
      </c>
      <c r="I27" s="889"/>
      <c r="J27" s="889"/>
      <c r="K27" s="889"/>
      <c r="L27" s="889"/>
      <c r="M27" s="269"/>
      <c r="N27" s="392"/>
      <c r="O27" s="392"/>
      <c r="P27" s="392"/>
      <c r="Q27" s="392"/>
      <c r="R27" s="503"/>
      <c r="S27" s="217" t="str">
        <f>+IF(Tabla258790120135628891[[#This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IF(Tabla278891121136638992[[#This Row],[Subtype]]="","",VLOOKUP(Tabla278891121136638992[[#This Row],[Subtype]],'Unit-X00 Equipment'!$E$13:$H$107,4,FALSE))</f>
        <v/>
      </c>
      <c r="I28" s="889"/>
      <c r="J28" s="889"/>
      <c r="K28" s="889"/>
      <c r="L28" s="889"/>
      <c r="M28" s="269"/>
      <c r="N28" s="392"/>
      <c r="O28" s="392"/>
      <c r="P28" s="392"/>
      <c r="Q28" s="392"/>
      <c r="R28" s="503"/>
      <c r="S28" s="217" t="str">
        <f>+IF(Tabla258790120135628891[[#This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IF(Tabla278891121136638992[[#This Row],[Subtype]]="","",VLOOKUP(Tabla278891121136638992[[#This Row],[Subtype]],'Unit-X00 Equipment'!$E$13:$H$107,4,FALSE))</f>
        <v/>
      </c>
      <c r="I29" s="889"/>
      <c r="J29" s="889"/>
      <c r="K29" s="889"/>
      <c r="L29" s="889"/>
      <c r="M29" s="269"/>
      <c r="N29" s="392"/>
      <c r="O29" s="392"/>
      <c r="P29" s="392"/>
      <c r="Q29" s="392"/>
      <c r="R29" s="503"/>
      <c r="S29" s="217" t="str">
        <f>+IF(Tabla258790120135628891[[#This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IF(Tabla278891121136638992[[#This Row],[Subtype]]="","",VLOOKUP(Tabla278891121136638992[[#This Row],[Subtype]],'Unit-X00 Equipment'!$E$13:$H$107,4,FALSE))</f>
        <v/>
      </c>
      <c r="I30" s="889"/>
      <c r="J30" s="889"/>
      <c r="K30" s="889"/>
      <c r="L30" s="889"/>
      <c r="M30" s="269"/>
      <c r="N30" s="392"/>
      <c r="O30" s="392"/>
      <c r="P30" s="392"/>
      <c r="Q30" s="392"/>
      <c r="R30" s="503"/>
      <c r="S30" s="217" t="str">
        <f>+IF(Tabla258790120135628891[[#This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IF(Tabla278891121136638992[[#This Row],[Subtype]]="","",VLOOKUP(Tabla278891121136638992[[#This Row],[Subtype]],'Unit-X00 Equipment'!$E$13:$H$107,4,FALSE))</f>
        <v/>
      </c>
      <c r="I31" s="889"/>
      <c r="J31" s="889"/>
      <c r="K31" s="889"/>
      <c r="L31" s="889"/>
      <c r="M31" s="269"/>
      <c r="N31" s="392"/>
      <c r="O31" s="392"/>
      <c r="P31" s="392"/>
      <c r="Q31" s="392"/>
      <c r="R31" s="503"/>
      <c r="S31" s="217" t="str">
        <f>+IF(Tabla258790120135628891[[#This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IF(Tabla278891121136638992[[#This Row],[Subtype]]="","",VLOOKUP(Tabla278891121136638992[[#This Row],[Subtype]],'Unit-X00 Equipment'!$E$13:$H$107,4,FALSE))</f>
        <v/>
      </c>
      <c r="I32" s="889"/>
      <c r="J32" s="889"/>
      <c r="K32" s="889"/>
      <c r="L32" s="889"/>
      <c r="M32" s="172"/>
      <c r="N32" s="889"/>
      <c r="O32" s="889"/>
      <c r="P32" s="168"/>
      <c r="Q32" s="169"/>
      <c r="R32" s="503"/>
      <c r="S32" s="217" t="str">
        <f>+IF(Tabla258790120135628891[[#This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IF(Tabla278891121136638992[[#This Row],[Subtype]]="","",VLOOKUP(Tabla278891121136638992[[#This Row],[Subtype]],'Unit-X00 Equipment'!$E$13:$H$107,4,FALSE))</f>
        <v/>
      </c>
      <c r="I33" s="889"/>
      <c r="J33" s="889"/>
      <c r="K33" s="889"/>
      <c r="L33" s="889"/>
      <c r="M33" s="172"/>
      <c r="N33" s="889"/>
      <c r="O33" s="889"/>
      <c r="P33" s="392"/>
      <c r="Q33" s="169"/>
      <c r="R33" s="503"/>
      <c r="S33" s="217" t="str">
        <f>+IF(Tabla258790120135628891[[#This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IF(Tabla278891121136638992[[#This Row],[Subtype]]="","",VLOOKUP(Tabla278891121136638992[[#This Row],[Subtype]],'Unit-X00 Equipment'!$E$13:$H$107,4,FALSE))</f>
        <v/>
      </c>
      <c r="I34" s="889"/>
      <c r="J34" s="889"/>
      <c r="K34" s="889"/>
      <c r="L34" s="889"/>
      <c r="M34" s="172"/>
      <c r="N34" s="889"/>
      <c r="O34" s="889"/>
      <c r="P34" s="889"/>
      <c r="Q34" s="169"/>
      <c r="R34" s="503"/>
      <c r="S34" s="217" t="str">
        <f>+IF(Tabla258790120135628891[[#This Row],[Equipment]]="","",Q34*R34/10^6)</f>
        <v/>
      </c>
      <c r="T34" s="950" t="e">
        <f t="shared" ca="1" si="0"/>
        <v>#VALUE!</v>
      </c>
      <c r="U34" s="105"/>
      <c r="V34" s="116"/>
      <c r="W34" s="1096" t="str">
        <f>+E6&amp;" Calculations"</f>
        <v>WGS Calculations</v>
      </c>
      <c r="X34" s="1097"/>
      <c r="Y34" s="1097"/>
      <c r="Z34" s="1097"/>
      <c r="AA34" s="1097"/>
      <c r="AB34" s="1097"/>
      <c r="AC34" s="1097"/>
      <c r="AD34" s="1097"/>
      <c r="AE34" s="1097"/>
      <c r="AF34" s="1097"/>
      <c r="AG34" s="1097"/>
      <c r="AH34" s="1097"/>
      <c r="AI34" s="1097"/>
      <c r="AJ34" s="1097"/>
      <c r="AK34" s="1097"/>
      <c r="AL34" s="1097"/>
      <c r="AM34" s="1097"/>
      <c r="AN34" s="1098"/>
      <c r="AO34" s="113"/>
      <c r="AP34" s="105"/>
      <c r="AQ34" s="241"/>
      <c r="AR34" s="452"/>
    </row>
    <row r="35" spans="1:44" ht="16.2" customHeight="1" x14ac:dyDescent="0.3">
      <c r="A35" s="83"/>
      <c r="B35" s="104"/>
      <c r="C35" s="440"/>
      <c r="D35" s="233"/>
      <c r="E35" s="267"/>
      <c r="F35" s="392"/>
      <c r="G35" s="392"/>
      <c r="H35" s="512" t="str">
        <f>IF(Tabla278891121136638992[[#This Row],[Subtype]]="","",VLOOKUP(Tabla278891121136638992[[#This Row],[Subtype]],'Unit-X00 Equipment'!$E$13:$H$107,4,FALSE))</f>
        <v/>
      </c>
      <c r="I35" s="889"/>
      <c r="J35" s="889"/>
      <c r="K35" s="889"/>
      <c r="L35" s="889"/>
      <c r="M35" s="172"/>
      <c r="N35" s="889"/>
      <c r="O35" s="889"/>
      <c r="P35" s="889"/>
      <c r="Q35" s="169"/>
      <c r="R35" s="503"/>
      <c r="S35" s="217" t="str">
        <f>+IF(Tabla258790120135628891[[#This Row],[Equipment]]="","",Q35*R35/10^6)</f>
        <v/>
      </c>
      <c r="T35" s="950" t="e">
        <f t="shared" ca="1" si="0"/>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IF(Tabla278891121136638992[[#This Row],[Subtype]]="","",VLOOKUP(Tabla278891121136638992[[#This Row],[Subtype]],'Unit-X00 Equipment'!$E$13:$H$107,4,FALSE))</f>
        <v/>
      </c>
      <c r="I36" s="889"/>
      <c r="J36" s="889"/>
      <c r="K36" s="889"/>
      <c r="L36" s="889"/>
      <c r="M36" s="172"/>
      <c r="N36" s="889"/>
      <c r="O36" s="889"/>
      <c r="P36" s="889"/>
      <c r="Q36" s="169"/>
      <c r="R36" s="503"/>
      <c r="S36" s="217" t="str">
        <f>+IF(Tabla258790120135628891[[#This Row],[Equipment]]="","",Q36*R36/10^6)</f>
        <v/>
      </c>
      <c r="T36" s="950" t="e">
        <f t="shared" ca="1" si="0"/>
        <v>#VALUE!</v>
      </c>
      <c r="U36" s="105"/>
      <c r="V36" s="806"/>
      <c r="W36" s="1201" t="s">
        <v>837</v>
      </c>
      <c r="X36" s="1202"/>
      <c r="Y36" s="1203"/>
      <c r="AB36" s="1204" t="s">
        <v>856</v>
      </c>
      <c r="AC36" s="1205"/>
      <c r="AD36" s="1205"/>
      <c r="AE36" s="1205"/>
      <c r="AF36" s="1205"/>
      <c r="AG36" s="1205"/>
      <c r="AH36" s="1205"/>
      <c r="AI36" s="1205"/>
      <c r="AJ36" s="1205"/>
      <c r="AK36" s="1206"/>
      <c r="AO36" s="113"/>
      <c r="AP36" s="105"/>
      <c r="AQ36" s="241"/>
      <c r="AR36" s="452"/>
    </row>
    <row r="37" spans="1:44" ht="16.2" customHeight="1" x14ac:dyDescent="0.3">
      <c r="A37" s="83"/>
      <c r="B37" s="104"/>
      <c r="C37" s="440"/>
      <c r="D37" s="233"/>
      <c r="E37" s="267"/>
      <c r="F37" s="392"/>
      <c r="G37" s="392"/>
      <c r="H37" s="512" t="str">
        <f>IF(Tabla278891121136638992[[#This Row],[Subtype]]="","",VLOOKUP(Tabla278891121136638992[[#This Row],[Subtype]],'Unit-X00 Equipment'!$E$13:$H$107,4,FALSE))</f>
        <v/>
      </c>
      <c r="I37" s="889"/>
      <c r="J37" s="889"/>
      <c r="K37" s="889"/>
      <c r="L37" s="889"/>
      <c r="M37" s="172"/>
      <c r="N37" s="889"/>
      <c r="O37" s="889"/>
      <c r="P37" s="889"/>
      <c r="Q37" s="169"/>
      <c r="R37" s="503"/>
      <c r="S37" s="217" t="str">
        <f>+IF(Tabla258790120135628891[[#This Row],[Equipment]]="","",Q37*R37/10^6)</f>
        <v/>
      </c>
      <c r="T37" s="950" t="e">
        <f t="shared" ca="1" si="0"/>
        <v>#VALUE!</v>
      </c>
      <c r="U37" s="105"/>
      <c r="V37" s="806"/>
      <c r="W37" s="872" t="s">
        <v>838</v>
      </c>
      <c r="X37" s="835">
        <v>16100</v>
      </c>
      <c r="Y37" s="873" t="s">
        <v>794</v>
      </c>
      <c r="AB37" s="865" t="s">
        <v>461</v>
      </c>
      <c r="AC37" s="865" t="s">
        <v>857</v>
      </c>
      <c r="AD37" s="865" t="s">
        <v>858</v>
      </c>
      <c r="AE37" s="865" t="s">
        <v>859</v>
      </c>
      <c r="AF37" s="865" t="s">
        <v>860</v>
      </c>
      <c r="AG37" s="865" t="s">
        <v>865</v>
      </c>
      <c r="AH37" s="865" t="s">
        <v>861</v>
      </c>
      <c r="AI37" s="826" t="s">
        <v>862</v>
      </c>
      <c r="AJ37" s="827" t="s">
        <v>863</v>
      </c>
      <c r="AK37" s="830" t="s">
        <v>866</v>
      </c>
      <c r="AO37" s="113"/>
      <c r="AP37" s="105"/>
      <c r="AQ37" s="241"/>
      <c r="AR37" s="452"/>
    </row>
    <row r="38" spans="1:44" ht="16.2" customHeight="1" x14ac:dyDescent="0.3">
      <c r="A38" s="83"/>
      <c r="B38" s="104"/>
      <c r="C38" s="440"/>
      <c r="D38" s="233"/>
      <c r="E38" s="267"/>
      <c r="F38" s="392"/>
      <c r="G38" s="392"/>
      <c r="H38" s="512" t="str">
        <f>IF(Tabla278891121136638992[[#This Row],[Subtype]]="","",VLOOKUP(Tabla278891121136638992[[#This Row],[Subtype]],'Unit-X00 Equipment'!$E$13:$H$107,4,FALSE))</f>
        <v/>
      </c>
      <c r="I38" s="889"/>
      <c r="J38" s="889"/>
      <c r="K38" s="889"/>
      <c r="L38" s="889"/>
      <c r="M38" s="172"/>
      <c r="N38" s="889"/>
      <c r="O38" s="889"/>
      <c r="P38" s="889"/>
      <c r="Q38" s="169"/>
      <c r="R38" s="503"/>
      <c r="S38" s="217" t="str">
        <f>+IF(Tabla258790120135628891[[#This Row],[Equipment]]="","",Q38*R38/10^6)</f>
        <v/>
      </c>
      <c r="T38" s="950" t="e">
        <f t="shared" ca="1" si="0"/>
        <v>#VALUE!</v>
      </c>
      <c r="U38" s="105"/>
      <c r="V38" s="806"/>
      <c r="W38" s="867" t="s">
        <v>839</v>
      </c>
      <c r="X38" s="508">
        <v>2000</v>
      </c>
      <c r="Y38" s="863" t="s">
        <v>794</v>
      </c>
      <c r="AB38" s="865" t="str">
        <f>+C21</f>
        <v>V-401</v>
      </c>
      <c r="AC38" s="831">
        <f>2068.36172249684/3600</f>
        <v>0.57454492291578885</v>
      </c>
      <c r="AD38" s="831">
        <f>4.74780369862925/3600</f>
        <v>1.3188343607303471E-3</v>
      </c>
      <c r="AE38" s="831">
        <v>1009.3270662354701</v>
      </c>
      <c r="AF38" s="831">
        <v>13.882638949025599</v>
      </c>
      <c r="AG38" s="826">
        <f>+(AH38*4/PI())^0.5</f>
        <v>1.5656441519246782</v>
      </c>
      <c r="AH38" s="831">
        <f>+AC38/(0.035*(AE38/AF38)^0.5)</f>
        <v>1.9252006588955026</v>
      </c>
      <c r="AI38" s="831">
        <f>+AH38*(4*AH38/PI())^0.5</f>
        <v>3.0141791528812809</v>
      </c>
      <c r="AJ38" s="831">
        <f>600*AD38</f>
        <v>0.79130061643820826</v>
      </c>
      <c r="AK38" s="830">
        <v>32</v>
      </c>
      <c r="AO38" s="84"/>
      <c r="AP38" s="105"/>
      <c r="AQ38" s="241"/>
      <c r="AR38" s="452"/>
    </row>
    <row r="39" spans="1:44" ht="16.2" customHeight="1" x14ac:dyDescent="0.3">
      <c r="A39" s="83"/>
      <c r="B39" s="104"/>
      <c r="C39" s="93"/>
      <c r="D39" s="234"/>
      <c r="E39" s="948"/>
      <c r="F39" s="949"/>
      <c r="G39" s="949"/>
      <c r="H39" s="512" t="str">
        <f>IF(Tabla278891121136638992[[#This Row],[Subtype]]="","",VLOOKUP(Tabla278891121136638992[[#This Row],[Subtype]],'Unit-X00 Equipment'!$E$13:$H$107,4,FALSE))</f>
        <v/>
      </c>
      <c r="I39" s="92"/>
      <c r="J39" s="92"/>
      <c r="K39" s="92"/>
      <c r="L39" s="92"/>
      <c r="M39" s="270"/>
      <c r="N39" s="92"/>
      <c r="O39" s="92"/>
      <c r="P39" s="92"/>
      <c r="Q39" s="271"/>
      <c r="R39" s="504"/>
      <c r="S39" s="217" t="str">
        <f>+IF(Tabla258790120135628891[[#This Row],[Equipment]]="","",Q39*R39/10^6)</f>
        <v/>
      </c>
      <c r="T39" s="950" t="e">
        <f t="shared" ca="1" si="0"/>
        <v>#VALUE!</v>
      </c>
      <c r="U39" s="105"/>
      <c r="V39" s="806"/>
      <c r="W39" s="868" t="s">
        <v>840</v>
      </c>
      <c r="X39" s="870">
        <v>4500</v>
      </c>
      <c r="Y39" s="869" t="s">
        <v>808</v>
      </c>
      <c r="Z39" s="881"/>
      <c r="AA39" s="881"/>
      <c r="AB39" s="881"/>
      <c r="AC39" s="881"/>
      <c r="AD39" s="725"/>
      <c r="AE39" s="725"/>
      <c r="AF39" s="386"/>
      <c r="AG39" s="386"/>
      <c r="AK39" s="386"/>
      <c r="AO39" s="113"/>
      <c r="AP39" s="105"/>
      <c r="AQ39" s="241"/>
      <c r="AR39" s="452"/>
    </row>
    <row r="40" spans="1:44" ht="16.2" customHeight="1" x14ac:dyDescent="0.3">
      <c r="A40" s="83"/>
      <c r="B40" s="104"/>
      <c r="C40" s="93"/>
      <c r="D40" s="234"/>
      <c r="E40" s="948"/>
      <c r="F40" s="949"/>
      <c r="G40" s="949"/>
      <c r="H40" s="512" t="str">
        <f>IF(Tabla278891121136638992[[#This Row],[Subtype]]="","",VLOOKUP(Tabla278891121136638992[[#This Row],[Subtype]],'Unit-X00 Equipment'!$E$13:$H$107,4,FALSE))</f>
        <v/>
      </c>
      <c r="I40" s="92"/>
      <c r="J40" s="92"/>
      <c r="K40" s="92"/>
      <c r="L40" s="92"/>
      <c r="M40" s="270"/>
      <c r="N40" s="92"/>
      <c r="O40" s="92"/>
      <c r="P40" s="92"/>
      <c r="Q40" s="271"/>
      <c r="R40" s="504"/>
      <c r="S40" s="217" t="str">
        <f>+IF(Tabla258790120135628891[[#This Row],[Equipment]]="","",Q40*R40/10^6)</f>
        <v/>
      </c>
      <c r="T40" s="950" t="e">
        <f t="shared" ca="1" si="0"/>
        <v>#VALUE!</v>
      </c>
      <c r="U40" s="105"/>
      <c r="V40" s="806"/>
      <c r="W40" s="914"/>
      <c r="X40" s="914"/>
      <c r="Y40" s="914"/>
      <c r="AB40" s="1198" t="s">
        <v>252</v>
      </c>
      <c r="AC40" s="1199"/>
      <c r="AD40" s="1200"/>
      <c r="AE40" s="1176" t="s">
        <v>823</v>
      </c>
      <c r="AF40" s="1094"/>
      <c r="AG40" s="1176" t="s">
        <v>824</v>
      </c>
      <c r="AH40" s="1094"/>
      <c r="AI40" s="865" t="s">
        <v>825</v>
      </c>
      <c r="AL40" s="725"/>
      <c r="AM40" s="506"/>
      <c r="AN40" s="385"/>
      <c r="AO40" s="113"/>
      <c r="AP40" s="105"/>
      <c r="AQ40" s="241"/>
      <c r="AR40" s="452"/>
    </row>
    <row r="41" spans="1:44" ht="16.2" customHeight="1" x14ac:dyDescent="0.3">
      <c r="A41" s="83"/>
      <c r="B41" s="104"/>
      <c r="C41" s="255"/>
      <c r="D41" s="233"/>
      <c r="E41" s="267"/>
      <c r="F41" s="392"/>
      <c r="G41" s="392"/>
      <c r="H41" s="512" t="str">
        <f>IF(Tabla278891121136638992[[#This Row],[Subtype]]="","",VLOOKUP(Tabla278891121136638992[[#This Row],[Subtype]],'Unit-X00 Equipment'!$E$13:$H$107,4,FALSE))</f>
        <v/>
      </c>
      <c r="I41" s="889"/>
      <c r="J41" s="889"/>
      <c r="K41" s="889"/>
      <c r="L41" s="889"/>
      <c r="M41" s="172"/>
      <c r="N41" s="889"/>
      <c r="O41" s="889"/>
      <c r="P41" s="168"/>
      <c r="Q41" s="169"/>
      <c r="R41" s="503"/>
      <c r="S41" s="217" t="str">
        <f>+IF(Tabla258790120135628891[[#This Row],[Equipment]]="","",Q41*R41/10^6)</f>
        <v/>
      </c>
      <c r="T41" s="950" t="e">
        <f t="shared" ca="1" si="0"/>
        <v>#VALUE!</v>
      </c>
      <c r="U41" s="105"/>
      <c r="V41" s="806"/>
      <c r="W41" s="914"/>
      <c r="X41" s="914"/>
      <c r="Y41" s="914"/>
      <c r="AB41" s="865" t="s">
        <v>350</v>
      </c>
      <c r="AC41" s="865" t="s">
        <v>826</v>
      </c>
      <c r="AD41" s="865" t="s">
        <v>827</v>
      </c>
      <c r="AE41" s="808" t="s">
        <v>828</v>
      </c>
      <c r="AF41" s="808" t="s">
        <v>829</v>
      </c>
      <c r="AG41" s="810" t="s">
        <v>828</v>
      </c>
      <c r="AH41" s="808" t="s">
        <v>829</v>
      </c>
      <c r="AI41" s="186" t="s">
        <v>830</v>
      </c>
      <c r="AL41" s="725"/>
      <c r="AM41" s="725"/>
      <c r="AN41" s="385"/>
      <c r="AO41" s="113"/>
      <c r="AP41" s="105"/>
      <c r="AQ41" s="241"/>
      <c r="AR41" s="452"/>
    </row>
    <row r="42" spans="1:44" ht="16.2" customHeight="1" x14ac:dyDescent="0.3">
      <c r="A42" s="83"/>
      <c r="B42" s="104"/>
      <c r="C42" s="255"/>
      <c r="D42" s="233"/>
      <c r="E42" s="267"/>
      <c r="F42" s="392"/>
      <c r="G42" s="392"/>
      <c r="H42" s="512" t="str">
        <f>IF(Tabla278891121136638992[[#This Row],[Subtype]]="","",VLOOKUP(Tabla278891121136638992[[#This Row],[Subtype]],'Unit-X00 Equipment'!$E$13:$H$107,4,FALSE))</f>
        <v/>
      </c>
      <c r="I42" s="889"/>
      <c r="J42" s="889"/>
      <c r="K42" s="889"/>
      <c r="L42" s="889"/>
      <c r="M42" s="172"/>
      <c r="N42" s="889"/>
      <c r="O42" s="889"/>
      <c r="P42" s="392"/>
      <c r="Q42" s="169"/>
      <c r="R42" s="503"/>
      <c r="S42" s="217" t="str">
        <f>+IF(Tabla258790120135628891[[#This Row],[Equipment]]="","",Q42*R42/10^6)</f>
        <v/>
      </c>
      <c r="T42" s="950" t="e">
        <f t="shared" ca="1" si="0"/>
        <v>#VALUE!</v>
      </c>
      <c r="U42" s="105"/>
      <c r="V42" s="806"/>
      <c r="W42" s="914"/>
      <c r="X42" s="914"/>
      <c r="Y42" s="914"/>
      <c r="AB42" s="865" t="str">
        <f>+C17</f>
        <v>HEX-401</v>
      </c>
      <c r="AC42" s="865">
        <v>242805.42498583399</v>
      </c>
      <c r="AD42" s="871" t="s">
        <v>831</v>
      </c>
      <c r="AE42" s="872" t="s">
        <v>832</v>
      </c>
      <c r="AF42" s="834">
        <f>IF(AE42="Ph. Ch.",$AD$51,IF(AE42="Liquid",$AD$50,$AD$48*AE42^$AD$49))</f>
        <v>5000</v>
      </c>
      <c r="AG42" s="835">
        <v>35</v>
      </c>
      <c r="AH42" s="836">
        <f>IF(AG42="Ph. Ch.",$AD$51,IF(AG42="Liquid",$AD$50,$AD$48*AG42^$AD$49))</f>
        <v>481.84529468989359</v>
      </c>
      <c r="AI42" s="837">
        <f>1/(1/AF42+1/AH42)</f>
        <v>439.49187617228392</v>
      </c>
      <c r="AL42" s="725"/>
      <c r="AM42" s="725"/>
      <c r="AN42" s="385"/>
      <c r="AO42" s="113"/>
      <c r="AP42" s="105"/>
      <c r="AQ42" s="241"/>
      <c r="AR42" s="452"/>
    </row>
    <row r="43" spans="1:44" ht="16.2" customHeight="1" x14ac:dyDescent="0.3">
      <c r="A43" s="83"/>
      <c r="B43" s="104"/>
      <c r="C43" s="440"/>
      <c r="D43" s="233"/>
      <c r="E43" s="267"/>
      <c r="F43" s="392"/>
      <c r="G43" s="392"/>
      <c r="H43" s="512" t="str">
        <f>IF(Tabla278891121136638992[[#This Row],[Subtype]]="","",VLOOKUP(Tabla278891121136638992[[#This Row],[Subtype]],'Unit-X00 Equipment'!$E$13:$H$107,4,FALSE))</f>
        <v/>
      </c>
      <c r="I43" s="889"/>
      <c r="J43" s="889"/>
      <c r="K43" s="889"/>
      <c r="L43" s="889"/>
      <c r="M43" s="332"/>
      <c r="N43" s="892"/>
      <c r="O43" s="892"/>
      <c r="P43" s="892"/>
      <c r="Q43" s="333"/>
      <c r="R43" s="505"/>
      <c r="S43" s="217" t="str">
        <f>+IF(Tabla258790120135628891[[#This Row],[Equipment]]="","",Q43*R43/10^6)</f>
        <v/>
      </c>
      <c r="T43" s="950" t="e">
        <f t="shared" ca="1" si="0"/>
        <v>#VALUE!</v>
      </c>
      <c r="U43" s="105"/>
      <c r="V43" s="806"/>
      <c r="W43" s="1198" t="s">
        <v>841</v>
      </c>
      <c r="X43" s="1199"/>
      <c r="Y43" s="1200"/>
      <c r="AB43" s="865" t="str">
        <f>+C18</f>
        <v>HEX-402</v>
      </c>
      <c r="AC43" s="865">
        <v>124064.343170113</v>
      </c>
      <c r="AD43" s="871" t="s">
        <v>831</v>
      </c>
      <c r="AE43" s="867" t="s">
        <v>832</v>
      </c>
      <c r="AF43" s="506">
        <f>IF(AE43="Ph. Ch.",$AD$51,IF(AE43="Liquid",$AD$50,$AD$48*AE43^$AD$49))</f>
        <v>5000</v>
      </c>
      <c r="AG43" s="862">
        <v>35</v>
      </c>
      <c r="AH43" s="385">
        <f>IF(AG43="Ph. Ch.",$AD$51,IF(AG43="Liquid",$AD$50,$AD$48*AG43^$AD$49))</f>
        <v>481.84529468989359</v>
      </c>
      <c r="AI43" s="817">
        <f>1/(1/AF43+1/AH43)</f>
        <v>439.49187617228392</v>
      </c>
      <c r="AL43" s="725"/>
      <c r="AM43" s="725"/>
      <c r="AN43" s="385"/>
      <c r="AO43" s="113"/>
      <c r="AP43" s="105"/>
      <c r="AQ43" s="241"/>
      <c r="AR43" s="452"/>
    </row>
    <row r="44" spans="1:44" ht="16.2" customHeight="1" x14ac:dyDescent="0.3">
      <c r="A44" s="83"/>
      <c r="B44" s="104"/>
      <c r="C44" s="441"/>
      <c r="D44" s="1103" t="s">
        <v>536</v>
      </c>
      <c r="E44" s="1103"/>
      <c r="F44" s="1103"/>
      <c r="G44" s="1103"/>
      <c r="H44" s="1103"/>
      <c r="I44" s="1103"/>
      <c r="J44" s="1103"/>
      <c r="K44" s="1103"/>
      <c r="L44" s="1103"/>
      <c r="M44" s="1171"/>
      <c r="N44" s="1171"/>
      <c r="O44" s="1171"/>
      <c r="P44" s="1171"/>
      <c r="Q44" s="1171"/>
      <c r="R44" s="1171"/>
      <c r="S44" s="443"/>
      <c r="T44" s="950">
        <f t="shared" ca="1" si="0"/>
        <v>0</v>
      </c>
      <c r="U44" s="105"/>
      <c r="V44" s="806"/>
      <c r="W44" s="871" t="s">
        <v>461</v>
      </c>
      <c r="X44" s="865" t="s">
        <v>842</v>
      </c>
      <c r="Y44" s="864" t="s">
        <v>843</v>
      </c>
      <c r="AB44" s="865" t="str">
        <f>+C19</f>
        <v>HEX-403</v>
      </c>
      <c r="AC44" s="865">
        <v>178897.374426428</v>
      </c>
      <c r="AD44" s="871" t="s">
        <v>870</v>
      </c>
      <c r="AE44" s="867" t="s">
        <v>819</v>
      </c>
      <c r="AF44" s="506">
        <f>IF(AE44="Ph. Ch.",$AD$51,IF(AE44="Liquid",$AD$50,$AD$48*AE44^$AD$49))</f>
        <v>1500</v>
      </c>
      <c r="AG44" s="862">
        <v>37</v>
      </c>
      <c r="AH44" s="385">
        <f>IF(AG44="Ph. Ch.",$AD$51,IF(AG44="Liquid",$AD$50,$AD$48*AG44^$AD$49))</f>
        <v>500.9578636039256</v>
      </c>
      <c r="AI44" s="817">
        <f>1/(1/AF44+1/AH44)</f>
        <v>375.53854035310644</v>
      </c>
      <c r="AL44" s="725"/>
      <c r="AM44" s="725"/>
      <c r="AN44" s="385"/>
      <c r="AO44" s="113"/>
      <c r="AP44" s="105"/>
      <c r="AQ44" s="241"/>
      <c r="AR44" s="452"/>
    </row>
    <row r="45" spans="1:44" ht="16.2" customHeight="1" x14ac:dyDescent="0.3">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89" t="s">
        <v>469</v>
      </c>
      <c r="S45" s="589" t="s">
        <v>496</v>
      </c>
      <c r="T45" s="106"/>
      <c r="U45" s="105"/>
      <c r="V45" s="806"/>
      <c r="W45" s="867" t="s">
        <v>844</v>
      </c>
      <c r="X45" s="164">
        <v>26.45</v>
      </c>
      <c r="Y45" s="822">
        <v>1.234</v>
      </c>
      <c r="Z45" s="881"/>
      <c r="AA45" s="881"/>
      <c r="AB45" s="915" t="str">
        <f>+C22</f>
        <v>C-401</v>
      </c>
      <c r="AC45" s="915">
        <v>417029.30776572699</v>
      </c>
      <c r="AD45" s="753" t="s">
        <v>964</v>
      </c>
      <c r="AE45" s="868" t="s">
        <v>819</v>
      </c>
      <c r="AF45" s="838">
        <f>IF(AE45="Ph. Ch.",$AD$51,IF(AE45="Liquid",$AD$50,$AD$48*AE45^$AD$49))</f>
        <v>1500</v>
      </c>
      <c r="AG45" s="839" t="s">
        <v>832</v>
      </c>
      <c r="AH45" s="839">
        <f>IF(AG45="Ph. Ch.",$AD$51,IF(AG45="Liquid",$AD$50,$AD$48*AG45^$AD$49))</f>
        <v>5000</v>
      </c>
      <c r="AI45" s="840">
        <f>1/(1/AF45+1/AH45)</f>
        <v>1153.8461538461538</v>
      </c>
      <c r="AJ45" s="725"/>
      <c r="AK45" s="725"/>
      <c r="AL45" s="725"/>
      <c r="AM45" s="725"/>
      <c r="AN45" s="385"/>
      <c r="AO45" s="113"/>
      <c r="AP45" s="105"/>
      <c r="AQ45" s="241"/>
      <c r="AR45" s="452"/>
    </row>
    <row r="46" spans="1:44" ht="16.2" customHeight="1" x14ac:dyDescent="0.3">
      <c r="A46" s="83"/>
      <c r="B46" s="104"/>
      <c r="C46" s="888" t="s">
        <v>851</v>
      </c>
      <c r="D46" s="885" t="s">
        <v>792</v>
      </c>
      <c r="E46" s="886"/>
      <c r="F46" s="383" t="s">
        <v>486</v>
      </c>
      <c r="G46" s="383">
        <v>2020</v>
      </c>
      <c r="H46" s="383" t="s">
        <v>477</v>
      </c>
      <c r="I46" s="383" t="s">
        <v>793</v>
      </c>
      <c r="J46" s="279" t="s">
        <v>471</v>
      </c>
      <c r="K46" s="886">
        <v>1</v>
      </c>
      <c r="L46" s="886">
        <v>1</v>
      </c>
      <c r="M46" s="221">
        <v>1</v>
      </c>
      <c r="N46" s="886">
        <v>1</v>
      </c>
      <c r="O46" s="886">
        <f>+X38/10^6</f>
        <v>2E-3</v>
      </c>
      <c r="P46" s="794">
        <v>1</v>
      </c>
      <c r="Q46" s="219">
        <f>+(X49+2*X51)^2*PI()/4*(X48*X49+2*X51)-F13</f>
        <v>3.362525753139721</v>
      </c>
      <c r="R46" s="217">
        <f>IF(ISBLANK(Q46),"",(P46/M46)^K46*O46*((Q46/P46)/(N46/M46))^L46*R14)</f>
        <v>6.7250515062794421E-3</v>
      </c>
      <c r="S46" s="217" cm="1">
        <f t="array" aca="1" ref="S46" ca="1">IF(ISBLANK(Q46),"",IF(R46&gt;0,R46*INDIRECT(ADDRESS(MATCH(G46,'Cost Conversion'!$B$3:$B$48,0)+2,4,1,1,"Cost conversion"))*INDIRECT(ADDRESS(MATCH(H46,'Cost Conversion'!$F$3:$F$22,0)+2,8,1,1,"Cost conversion"))/IF(F46="$",'Cost Conversion'!$L$2,1),0))</f>
        <v>6.7250515062794421E-3</v>
      </c>
      <c r="T46" s="106"/>
      <c r="U46" s="105"/>
      <c r="V46" s="806"/>
      <c r="W46" s="867" t="s">
        <v>845</v>
      </c>
      <c r="X46" s="823">
        <v>0.3</v>
      </c>
      <c r="Y46" s="824">
        <v>0.3</v>
      </c>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888" t="s">
        <v>852</v>
      </c>
      <c r="D47" s="888" t="s">
        <v>792</v>
      </c>
      <c r="E47" s="889"/>
      <c r="F47" s="254" t="s">
        <v>486</v>
      </c>
      <c r="G47" s="254">
        <v>2020</v>
      </c>
      <c r="H47" s="254" t="s">
        <v>477</v>
      </c>
      <c r="I47" s="393" t="s">
        <v>793</v>
      </c>
      <c r="J47" s="393" t="s">
        <v>471</v>
      </c>
      <c r="K47" s="889">
        <v>1</v>
      </c>
      <c r="L47" s="889">
        <v>1</v>
      </c>
      <c r="M47" s="888">
        <v>1</v>
      </c>
      <c r="N47" s="889">
        <v>1</v>
      </c>
      <c r="O47" s="889">
        <f>+X38/10^6</f>
        <v>2E-3</v>
      </c>
      <c r="P47" s="889">
        <v>1</v>
      </c>
      <c r="Q47" s="392">
        <f>+(Y49+2*Y51)^2*PI()/4*(Y49*Y48+2*Y51)-F15</f>
        <v>0.87805992351374251</v>
      </c>
      <c r="R47" s="217">
        <f>IF(ISBLANK(Q47),"",(P47/M47)^K47*O47*((Q47/P47)/(N47/M47))^L47)</f>
        <v>1.756119847027485E-3</v>
      </c>
      <c r="S47" s="217" cm="1">
        <f t="array" aca="1" ref="S47" ca="1">IF(ISBLANK(Q47),"",IF(R47&gt;0,R47*INDIRECT(ADDRESS(MATCH(G47,'Cost Conversion'!$B$3:$B$48,0)+2,4,1,1,"Cost conversion"))*INDIRECT(ADDRESS(MATCH(H47,'Cost Conversion'!$F$3:$F$22,0)+2,8,1,1,"Cost conversion"))/IF(F47="$",'Cost Conversion'!$L$2,1),0))</f>
        <v>1.7561198470274848E-3</v>
      </c>
      <c r="T47" s="106"/>
      <c r="U47" s="105"/>
      <c r="V47" s="806"/>
      <c r="W47" s="867" t="s">
        <v>846</v>
      </c>
      <c r="X47" s="164">
        <v>0.3</v>
      </c>
      <c r="Y47" s="863">
        <v>0.5</v>
      </c>
      <c r="Z47" s="881"/>
      <c r="AA47" s="881"/>
      <c r="AB47" s="1150" t="s">
        <v>358</v>
      </c>
      <c r="AC47" s="1151"/>
      <c r="AD47" s="865" t="s">
        <v>816</v>
      </c>
      <c r="AE47" s="725"/>
      <c r="AF47" s="725"/>
      <c r="AG47" s="725"/>
      <c r="AH47" s="725"/>
      <c r="AI47" s="725"/>
      <c r="AJ47" s="725"/>
      <c r="AK47" s="508"/>
      <c r="AL47" s="508"/>
      <c r="AM47" s="508"/>
      <c r="AN47" s="725"/>
      <c r="AO47" s="113"/>
      <c r="AP47" s="105"/>
      <c r="AQ47" s="241"/>
      <c r="AR47" s="452"/>
    </row>
    <row r="48" spans="1:44" ht="16.2" customHeight="1" x14ac:dyDescent="0.3">
      <c r="A48" s="83"/>
      <c r="B48" s="104"/>
      <c r="C48" s="888" t="s">
        <v>853</v>
      </c>
      <c r="D48" s="888" t="s">
        <v>1018</v>
      </c>
      <c r="E48" s="889"/>
      <c r="F48" s="254" t="s">
        <v>486</v>
      </c>
      <c r="G48" s="254">
        <v>2020</v>
      </c>
      <c r="H48" s="254" t="s">
        <v>477</v>
      </c>
      <c r="I48" s="889" t="s">
        <v>867</v>
      </c>
      <c r="J48" s="889" t="s">
        <v>471</v>
      </c>
      <c r="K48" s="889">
        <v>1</v>
      </c>
      <c r="L48" s="889">
        <v>1</v>
      </c>
      <c r="M48" s="888">
        <v>1</v>
      </c>
      <c r="N48" s="889">
        <v>1</v>
      </c>
      <c r="O48" s="793">
        <f>+X37/10^6</f>
        <v>1.61E-2</v>
      </c>
      <c r="P48" s="889">
        <v>1</v>
      </c>
      <c r="Q48" s="392">
        <f>+F13*(1-X47)</f>
        <v>24.069499999999998</v>
      </c>
      <c r="R48" s="217">
        <f>IF(ISBLANK(Q48),"",(P48/M48)^K48*O48*((Q48/P48)/(N48/M48))^L48)</f>
        <v>0.38751894999999997</v>
      </c>
      <c r="S48" s="217" cm="1">
        <f t="array" aca="1" ref="S48" ca="1">IF(ISBLANK(Q48),"",IF(R48&gt;0,R48*INDIRECT(ADDRESS(MATCH(G48,'Cost Conversion'!$B$3:$B$48,0)+2,4,1,1,"Cost conversion"))*INDIRECT(ADDRESS(MATCH(H48,'Cost Conversion'!$F$3:$F$22,0)+2,8,1,1,"Cost conversion"))/IF(F48="$",'Cost Conversion'!$L$2,1),0))</f>
        <v>0.38751894999999997</v>
      </c>
      <c r="T48" s="106"/>
      <c r="U48" s="105"/>
      <c r="V48" s="120"/>
      <c r="W48" s="867" t="s">
        <v>847</v>
      </c>
      <c r="X48" s="164">
        <v>2.92</v>
      </c>
      <c r="Y48" s="822">
        <v>2.6379999999999999</v>
      </c>
      <c r="Z48" s="881"/>
      <c r="AA48" s="881"/>
      <c r="AB48" s="1152" t="s">
        <v>817</v>
      </c>
      <c r="AC48" s="1153"/>
      <c r="AD48" s="807">
        <v>40</v>
      </c>
      <c r="AE48" s="507"/>
      <c r="AF48" s="517"/>
      <c r="AG48" s="88" t="s">
        <v>686</v>
      </c>
      <c r="AH48" s="88" t="s">
        <v>359</v>
      </c>
      <c r="AI48" s="1172" t="s">
        <v>579</v>
      </c>
      <c r="AJ48" s="1173"/>
      <c r="AK48" s="1173"/>
      <c r="AL48" s="1173"/>
      <c r="AM48" s="1173"/>
      <c r="AN48" s="1174"/>
      <c r="AO48" s="113"/>
      <c r="AP48" s="105"/>
      <c r="AQ48" s="241"/>
      <c r="AR48" s="452"/>
    </row>
    <row r="49" spans="1:57" ht="16.2" customHeight="1" x14ac:dyDescent="0.3">
      <c r="A49" s="83"/>
      <c r="B49" s="104"/>
      <c r="C49" s="888" t="s">
        <v>854</v>
      </c>
      <c r="D49" s="888" t="s">
        <v>1018</v>
      </c>
      <c r="E49" s="889"/>
      <c r="F49" s="254" t="s">
        <v>486</v>
      </c>
      <c r="G49" s="254">
        <v>2020</v>
      </c>
      <c r="H49" s="254" t="s">
        <v>477</v>
      </c>
      <c r="I49" s="889" t="s">
        <v>867</v>
      </c>
      <c r="J49" s="889" t="s">
        <v>471</v>
      </c>
      <c r="K49" s="889">
        <v>1</v>
      </c>
      <c r="L49" s="889">
        <v>1</v>
      </c>
      <c r="M49" s="888">
        <v>1</v>
      </c>
      <c r="N49" s="889">
        <v>1</v>
      </c>
      <c r="O49" s="889">
        <f>+O48</f>
        <v>1.61E-2</v>
      </c>
      <c r="P49" s="889">
        <v>1</v>
      </c>
      <c r="Q49" s="392">
        <f>+F15*(1-Y47)</f>
        <v>0.58799999999999997</v>
      </c>
      <c r="R49" s="217">
        <f>IF(ISBLANK(Q49),"",(P49/M49)^K49*O49*((Q49/P49)/(N49/M49))^L49)</f>
        <v>9.4667999999999992E-3</v>
      </c>
      <c r="S49" s="217" cm="1">
        <f t="array" aca="1" ref="S49" ca="1">IF(ISBLANK(Q49),"",IF(R49&gt;0,R49*INDIRECT(ADDRESS(MATCH(G49,'Cost Conversion'!$B$3:$B$48,0)+2,4,1,1,"Cost conversion"))*INDIRECT(ADDRESS(MATCH(H49,'Cost Conversion'!$F$3:$F$22,0)+2,8,1,1,"Cost conversion"))/IF(F49="$",'Cost Conversion'!$L$2,1),0))</f>
        <v>9.4667999999999992E-3</v>
      </c>
      <c r="T49" s="106"/>
      <c r="U49" s="105"/>
      <c r="V49" s="120"/>
      <c r="W49" s="867" t="s">
        <v>848</v>
      </c>
      <c r="X49" s="275">
        <f>+(X45*(1+X46)*4/(PI()*X48))^(1/3)</f>
        <v>2.4658430585085549</v>
      </c>
      <c r="Y49" s="275">
        <f>+(Y45*(1+Y46)*4/(PI()*Y48))^(1/3)</f>
        <v>0.9182577726436234</v>
      </c>
      <c r="Z49" s="507"/>
      <c r="AA49" s="507"/>
      <c r="AB49" s="1146" t="s">
        <v>818</v>
      </c>
      <c r="AC49" s="1106"/>
      <c r="AD49" s="807">
        <v>0.7</v>
      </c>
      <c r="AE49" s="507"/>
      <c r="AF49" s="517"/>
      <c r="AG49" s="919">
        <v>5</v>
      </c>
      <c r="AH49" s="919" t="s">
        <v>980</v>
      </c>
      <c r="AI49" s="1197" t="s">
        <v>979</v>
      </c>
      <c r="AJ49" s="1197"/>
      <c r="AK49" s="1197"/>
      <c r="AL49" s="1197"/>
      <c r="AM49" s="1197"/>
      <c r="AN49" s="1197"/>
      <c r="AO49" s="113"/>
      <c r="AP49" s="105"/>
      <c r="AQ49" s="241"/>
      <c r="AR49" s="452"/>
    </row>
    <row r="50" spans="1:57" ht="16.2" customHeight="1" x14ac:dyDescent="0.3">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0.21785078705903752</v>
      </c>
      <c r="S50" s="799" cm="1">
        <f t="array" aca="1" ref="S50" ca="1">IF(ISBLANK(Q50),"",IF(R50&gt;0,R50*INDIRECT(ADDRESS(MATCH(G50,'Cost Conversion'!$B$3:$B$48,0)+2,4,1,1,"Cost conversion"))*INDIRECT(ADDRESS(MATCH(H50,'Cost Conversion'!$F$3:$F$22,0)+2,8,1,1,"Cost conversion"))/IF(F50="$",'Cost Conversion'!$L$2,1),0))</f>
        <v>0.34746730910836593</v>
      </c>
      <c r="T50" s="106"/>
      <c r="U50" s="105"/>
      <c r="V50" s="120"/>
      <c r="W50" s="867" t="s">
        <v>849</v>
      </c>
      <c r="X50" s="164">
        <v>0.3</v>
      </c>
      <c r="Y50" s="863">
        <v>0.7</v>
      </c>
      <c r="Z50" s="507"/>
      <c r="AA50" s="507"/>
      <c r="AB50" s="1146" t="s">
        <v>819</v>
      </c>
      <c r="AC50" s="1106"/>
      <c r="AD50" s="807">
        <v>1500</v>
      </c>
      <c r="AE50" s="507"/>
      <c r="AF50" s="517"/>
      <c r="AG50" s="921">
        <v>6</v>
      </c>
      <c r="AH50" s="921" t="s">
        <v>1029</v>
      </c>
      <c r="AI50" s="1196" t="s">
        <v>1028</v>
      </c>
      <c r="AJ50" s="1196"/>
      <c r="AK50" s="1196"/>
      <c r="AL50" s="1196"/>
      <c r="AM50" s="1196"/>
      <c r="AN50" s="1196"/>
      <c r="AO50" s="113"/>
      <c r="AP50" s="105"/>
      <c r="AQ50" s="241"/>
      <c r="AR50" s="452"/>
    </row>
    <row r="51" spans="1:57" ht="16.2" customHeight="1" x14ac:dyDescent="0.3">
      <c r="A51" s="83"/>
      <c r="B51" s="104"/>
      <c r="C51" s="801" t="s">
        <v>774</v>
      </c>
      <c r="D51" s="801"/>
      <c r="E51" s="802"/>
      <c r="F51" s="802" t="str">
        <f>+F50</f>
        <v>$</v>
      </c>
      <c r="G51" s="802">
        <v>2001</v>
      </c>
      <c r="H51" s="802" t="str">
        <f>+H50</f>
        <v>US Gulf Coast</v>
      </c>
      <c r="I51" s="889"/>
      <c r="J51" s="889"/>
      <c r="K51" s="889"/>
      <c r="L51" s="889"/>
      <c r="M51" s="891"/>
      <c r="N51" s="892"/>
      <c r="O51" s="892"/>
      <c r="P51" s="892"/>
      <c r="Q51" s="800">
        <v>1</v>
      </c>
      <c r="R51" s="799">
        <f>+S14</f>
        <v>0.50304851735615008</v>
      </c>
      <c r="S51" s="799" cm="1">
        <f t="array" aca="1" ref="S51" ca="1">IF(ISBLANK(Q51),"",IF(R51&gt;0,R51*INDIRECT(ADDRESS(MATCH(G51,'Cost Conversion'!$B$3:$B$48,0)+2,4,1,1,"Cost conversion"))*INDIRECT(ADDRESS(MATCH(H51,'Cost Conversion'!$F$3:$F$22,0)+2,8,1,1,"Cost conversion"))/IF(F51="$",'Cost Conversion'!$L$2,1),0))</f>
        <v>0.80235154087061322</v>
      </c>
      <c r="T51" s="106"/>
      <c r="U51" s="105"/>
      <c r="V51" s="120"/>
      <c r="W51" s="868" t="s">
        <v>850</v>
      </c>
      <c r="X51" s="825">
        <v>0.05</v>
      </c>
      <c r="Y51" s="869">
        <v>0.05</v>
      </c>
      <c r="Z51" s="507"/>
      <c r="AA51" s="507"/>
      <c r="AB51" s="1147" t="s">
        <v>820</v>
      </c>
      <c r="AC51" s="1148"/>
      <c r="AD51" s="674">
        <v>5000</v>
      </c>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584</v>
      </c>
      <c r="N52" s="541" t="s">
        <v>463</v>
      </c>
      <c r="O52" s="899" t="s">
        <v>315</v>
      </c>
      <c r="P52" s="1155" t="s">
        <v>476</v>
      </c>
      <c r="Q52" s="1156"/>
      <c r="R52" s="589" t="s">
        <v>639</v>
      </c>
      <c r="S52" s="833" t="s">
        <v>638</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488</v>
      </c>
      <c r="N53" s="531" t="s">
        <v>486</v>
      </c>
      <c r="O53" s="901">
        <v>2001</v>
      </c>
      <c r="P53" s="1077" t="s">
        <v>477</v>
      </c>
      <c r="Q53" s="1079"/>
      <c r="R53" s="551">
        <f>+IF(SUM(S13:S43)&gt;0,IF(G3="Equipment",SUM(S13:S43),"NaN"),"")</f>
        <v>1.5981651716644059</v>
      </c>
      <c r="S53" s="552" cm="1">
        <f t="array" aca="1" ref="S53" ca="1">+IF(R53="",0,R53*INDIRECT(ADDRESS(MATCH(O53,'Cost Conversion'!$B$3:$B$48,0)+2,4,1,1,"Cost conversion"))*INDIRECT(ADDRESS(MATCH(P53,'Cost Conversion'!$F$3:$F$22,0)+2,8,1,1,"Cost conversion"))/IF(N53="$",'Cost Conversion'!$L$2,1))</f>
        <v>2.5490389968545393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640</v>
      </c>
      <c r="N54" s="140"/>
      <c r="O54" s="146"/>
      <c r="P54" s="1077"/>
      <c r="Q54" s="1079"/>
      <c r="R54" s="551" t="s">
        <v>354</v>
      </c>
      <c r="S54" s="552">
        <f ca="1">+IF(SUM(S46:S49)&gt;=0,SUM(S46:S49),"")</f>
        <v>0.40546692135330692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102" t="str">
        <f>+"BEC Distribution: "&amp;E6</f>
        <v>BEC Distribution: WGS</v>
      </c>
      <c r="C57" s="1103"/>
      <c r="D57" s="1103"/>
      <c r="E57" s="1103"/>
      <c r="F57" s="1103"/>
      <c r="G57" s="1104"/>
      <c r="H57" s="1102" t="str">
        <f>+"Estimate Benchmark: "&amp;E6</f>
        <v>Estimate Benchmark: WGS</v>
      </c>
      <c r="I57" s="1103"/>
      <c r="J57" s="1103"/>
      <c r="K57" s="1103"/>
      <c r="L57" s="1103"/>
      <c r="M57" s="1103"/>
      <c r="N57" s="1104"/>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4" t="s">
        <v>1019</v>
      </c>
      <c r="C81" s="1135"/>
      <c r="D81" s="1135"/>
      <c r="E81" s="1135"/>
      <c r="F81" s="1135"/>
      <c r="G81" s="1136"/>
      <c r="H81" s="128" t="s">
        <v>686</v>
      </c>
      <c r="I81" s="129" t="s">
        <v>359</v>
      </c>
      <c r="J81" s="1181" t="s">
        <v>579</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7"/>
      <c r="C82" s="1138"/>
      <c r="D82" s="1138"/>
      <c r="E82" s="1138"/>
      <c r="F82" s="1138"/>
      <c r="G82" s="1139"/>
      <c r="H82" s="628"/>
      <c r="I82" s="729"/>
      <c r="J82" s="1193"/>
      <c r="K82" s="1194"/>
      <c r="L82" s="1194"/>
      <c r="M82" s="1194"/>
      <c r="N82" s="119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40">
    <mergeCell ref="O6:S9"/>
    <mergeCell ref="D11:L11"/>
    <mergeCell ref="W43:Y43"/>
    <mergeCell ref="W36:Y36"/>
    <mergeCell ref="AG40:AH40"/>
    <mergeCell ref="AB40:AD40"/>
    <mergeCell ref="AB36:AK36"/>
    <mergeCell ref="AE40:AF40"/>
    <mergeCell ref="AB47:AC47"/>
    <mergeCell ref="AI49:AN49"/>
    <mergeCell ref="W34:AN34"/>
    <mergeCell ref="C3:F3"/>
    <mergeCell ref="G3:H3"/>
    <mergeCell ref="J3:M3"/>
    <mergeCell ref="O3:S3"/>
    <mergeCell ref="W3:AN3"/>
    <mergeCell ref="D5:E5"/>
    <mergeCell ref="G5:H5"/>
    <mergeCell ref="J5:K9"/>
    <mergeCell ref="O5:S5"/>
    <mergeCell ref="C6:C7"/>
    <mergeCell ref="C8:C9"/>
    <mergeCell ref="D8:D9"/>
    <mergeCell ref="E8:E9"/>
    <mergeCell ref="B81:G82"/>
    <mergeCell ref="AI50:AN50"/>
    <mergeCell ref="M11:R11"/>
    <mergeCell ref="J81:N81"/>
    <mergeCell ref="J82:N82"/>
    <mergeCell ref="D44:R44"/>
    <mergeCell ref="AI48:AN48"/>
    <mergeCell ref="P52:Q52"/>
    <mergeCell ref="P53:Q53"/>
    <mergeCell ref="P54:Q54"/>
    <mergeCell ref="B57:G57"/>
    <mergeCell ref="H57:N57"/>
    <mergeCell ref="AB48:AC48"/>
    <mergeCell ref="AB49:AC49"/>
    <mergeCell ref="AB50:AC50"/>
    <mergeCell ref="AB51:AC51"/>
  </mergeCells>
  <phoneticPr fontId="14" type="noConversion"/>
  <dataValidations count="10">
    <dataValidation type="list" allowBlank="1" showInputMessage="1" showErrorMessage="1" sqref="B54" xr:uid="{2ED05A2A-1D3B-49A0-B85B-C07430BE2452}">
      <formula1>Lifetime</formula1>
    </dataValidation>
    <dataValidation type="list" allowBlank="1" showInputMessage="1" showErrorMessage="1" sqref="B55" xr:uid="{7C317761-42E7-4152-AF15-49E5D4E381C8}">
      <formula1>Construction</formula1>
    </dataValidation>
    <dataValidation type="list" allowBlank="1" showInputMessage="1" showErrorMessage="1" sqref="F46:F52" xr:uid="{818E31F4-5A7F-4DF9-8C17-16687BFF0961}">
      <formula1>Currency</formula1>
    </dataValidation>
    <dataValidation type="list" allowBlank="1" showInputMessage="1" showErrorMessage="1" sqref="G46:G52" xr:uid="{717F654E-2A7C-4F41-882A-2AAB98FDE1E9}">
      <formula1>Year</formula1>
    </dataValidation>
    <dataValidation type="list" allowBlank="1" showInputMessage="1" showErrorMessage="1" sqref="H46:H52" xr:uid="{5B7DBFB9-DD96-486C-A912-30F1B9439766}">
      <formula1>Location</formula1>
    </dataValidation>
    <dataValidation type="list" allowBlank="1" showInputMessage="1" showErrorMessage="1" sqref="I13:I43" xr:uid="{5DD1B2D3-6182-4969-9B9D-F88F3E0737DA}">
      <formula1>INDIRECT(IF($D13="Heat Exchanger",SUBSTITUTE($D13," ","")&amp;"_"&amp;SUBSTITUTE(SUBSTITUTE($E13,",","")," ","")&amp;"_Material",SUBSTITUTE($D13," ","")&amp;"_Material"))</formula1>
    </dataValidation>
    <dataValidation type="list" allowBlank="1" showInputMessage="1" showErrorMessage="1" sqref="E21" xr:uid="{944A54D7-933F-4A78-B8E6-88442817DB72}">
      <formula1>INDIRECT(SUBSTITUTE($D22," ",""))</formula1>
    </dataValidation>
    <dataValidation type="list" allowBlank="1" showInputMessage="1" showErrorMessage="1" sqref="E8:E9" xr:uid="{9F1E64CA-16CE-46F7-95B8-6621633C667C}">
      <formula1>Case</formula1>
    </dataValidation>
    <dataValidation type="list" allowBlank="1" showInputMessage="1" showErrorMessage="1" sqref="E22:E43 E13:E20" xr:uid="{13CFCB7B-4049-4D1B-9C8C-563C115941B5}">
      <formula1>INDIRECT(SUBSTITUTE($D13," ",""))</formula1>
    </dataValidation>
    <dataValidation type="list" allowBlank="1" showInputMessage="1" showErrorMessage="1" sqref="D22:D43 D13:D20" xr:uid="{A2C5F655-0E9C-4B7E-A380-E400E5316F15}">
      <formula1>Equipment</formula1>
    </dataValidation>
  </dataValidations>
  <hyperlinks>
    <hyperlink ref="AI49" r:id="rId1" tooltip="Persistent link using digital object identifier" xr:uid="{FA68B546-2897-452B-9983-2AF0AEC62A0A}"/>
    <hyperlink ref="AI50:AN50" r:id="rId2" location="v=onepage&amp;q&amp;f=false" display="Coulson &amp; Richardson" xr:uid="{D71594B0-001B-40B2-8B27-8793C490B0CD}"/>
  </hyperlinks>
  <pageMargins left="0.7" right="0.7" top="0.75" bottom="0.75" header="0.3" footer="0.3"/>
  <pageSetup paperSize="9" orientation="portrait" verticalDpi="1200" r:id="rId3"/>
  <ignoredErrors>
    <ignoredError sqref="S50:S51 T23:T44" evalError="1"/>
  </ignoredErrors>
  <drawing r:id="rId4"/>
  <legacyDrawing r:id="rId5"/>
  <mc:AlternateContent xmlns:mc="http://schemas.openxmlformats.org/markup-compatibility/2006">
    <mc:Choice Requires="x14">
      <controls>
        <mc:AlternateContent xmlns:mc="http://schemas.openxmlformats.org/markup-compatibility/2006">
          <mc:Choice Requires="x14">
            <control shapeId="281601" r:id="rId6"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7"/>
    <tablePart r:id="rId8"/>
    <tablePart r:id="rId9"/>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5AAC1-7245-4786-8699-331EDBAEAFDF}">
  <sheetPr codeName="Hoja36"/>
  <dimension ref="A1:BE101"/>
  <sheetViews>
    <sheetView showGridLines="0" topLeftCell="A4" zoomScale="40" zoomScaleNormal="40" workbookViewId="0">
      <selection activeCell="S55" sqref="S55"/>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102" t="s">
        <v>270</v>
      </c>
      <c r="D3" s="1103"/>
      <c r="E3" s="1103"/>
      <c r="F3" s="1103"/>
      <c r="G3" s="1102" t="s">
        <v>229</v>
      </c>
      <c r="H3" s="1104"/>
      <c r="I3" s="92"/>
      <c r="J3" s="1102" t="s">
        <v>667</v>
      </c>
      <c r="K3" s="1103"/>
      <c r="L3" s="1103"/>
      <c r="M3" s="1104"/>
      <c r="N3" s="210"/>
      <c r="O3" s="1102" t="str">
        <f>+E6</f>
        <v>H₂ Production</v>
      </c>
      <c r="P3" s="1103"/>
      <c r="Q3" s="1103"/>
      <c r="R3" s="1103"/>
      <c r="S3" s="1104"/>
      <c r="T3" s="106"/>
      <c r="U3" s="106"/>
      <c r="V3" s="112"/>
      <c r="W3" s="1168" t="str">
        <f>+E6&amp;" Diagram"</f>
        <v>H₂ Production Diagram</v>
      </c>
      <c r="X3" s="1169"/>
      <c r="Y3" s="1169"/>
      <c r="Z3" s="1169"/>
      <c r="AA3" s="1169"/>
      <c r="AB3" s="1169"/>
      <c r="AC3" s="1169"/>
      <c r="AD3" s="1169"/>
      <c r="AE3" s="1169"/>
      <c r="AF3" s="1169"/>
      <c r="AG3" s="1169"/>
      <c r="AH3" s="1169"/>
      <c r="AI3" s="1169"/>
      <c r="AJ3" s="1169"/>
      <c r="AK3" s="1169"/>
      <c r="AL3" s="1169"/>
      <c r="AM3" s="1169"/>
      <c r="AN3" s="1170"/>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16" t="s">
        <v>265</v>
      </c>
      <c r="E5" s="1117"/>
      <c r="F5" s="105"/>
      <c r="G5" s="1116" t="s">
        <v>267</v>
      </c>
      <c r="H5" s="1117"/>
      <c r="I5" s="92"/>
      <c r="J5" s="1162"/>
      <c r="K5" s="1163"/>
      <c r="L5" s="214" t="s">
        <v>469</v>
      </c>
      <c r="M5" s="500" t="s">
        <v>503</v>
      </c>
      <c r="N5" s="501"/>
      <c r="O5" s="1039" t="s">
        <v>579</v>
      </c>
      <c r="P5" s="1040"/>
      <c r="Q5" s="1040"/>
      <c r="R5" s="1040"/>
      <c r="S5" s="104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40" t="s">
        <v>495</v>
      </c>
      <c r="D6" s="277" t="s">
        <v>677</v>
      </c>
      <c r="E6" s="548" t="str">
        <f>+'Plant Overview'!V41</f>
        <v>H₂ Production</v>
      </c>
      <c r="F6" s="105"/>
      <c r="G6" s="85"/>
      <c r="H6" s="395" t="s">
        <v>262</v>
      </c>
      <c r="I6" s="92"/>
      <c r="J6" s="1164"/>
      <c r="K6" s="1165"/>
      <c r="L6" s="189" t="s">
        <v>470</v>
      </c>
      <c r="M6" s="86" t="s">
        <v>504</v>
      </c>
      <c r="N6" s="501"/>
      <c r="O6" s="1107" t="str">
        <f>+'Plant Overview'!X41</f>
        <v>PSA, Off gas and H2 compression &amp; Auxiliaries</v>
      </c>
      <c r="P6" s="1108"/>
      <c r="Q6" s="1108"/>
      <c r="R6" s="1108"/>
      <c r="S6" s="110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41"/>
      <c r="D7" s="277" t="s">
        <v>676</v>
      </c>
      <c r="E7" s="548" t="str">
        <f>+'Plant Overview'!W41</f>
        <v>U-500</v>
      </c>
      <c r="F7" s="105"/>
      <c r="G7" s="96"/>
      <c r="H7" s="395" t="s">
        <v>263</v>
      </c>
      <c r="I7" s="92"/>
      <c r="J7" s="1164"/>
      <c r="K7" s="1165"/>
      <c r="L7" s="214" t="s">
        <v>464</v>
      </c>
      <c r="M7" s="500" t="s">
        <v>502</v>
      </c>
      <c r="N7" s="501"/>
      <c r="O7" s="1110"/>
      <c r="P7" s="1111"/>
      <c r="Q7" s="1111"/>
      <c r="R7" s="1111"/>
      <c r="S7" s="1112"/>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119"/>
      <c r="D8" s="1157" t="s">
        <v>312</v>
      </c>
      <c r="E8" s="1159" t="s">
        <v>434</v>
      </c>
      <c r="F8" s="105"/>
      <c r="G8" s="95"/>
      <c r="H8" s="893" t="s">
        <v>264</v>
      </c>
      <c r="I8" s="92"/>
      <c r="J8" s="1164"/>
      <c r="K8" s="1165"/>
      <c r="L8" s="214" t="s">
        <v>465</v>
      </c>
      <c r="M8" s="500" t="s">
        <v>500</v>
      </c>
      <c r="N8" s="501"/>
      <c r="O8" s="1110"/>
      <c r="P8" s="1111"/>
      <c r="Q8" s="1111"/>
      <c r="R8" s="1111"/>
      <c r="S8" s="1112"/>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120"/>
      <c r="D9" s="1158"/>
      <c r="E9" s="1160"/>
      <c r="F9" s="105"/>
      <c r="G9" s="110"/>
      <c r="H9" s="895" t="s">
        <v>268</v>
      </c>
      <c r="I9" s="92"/>
      <c r="J9" s="1166"/>
      <c r="K9" s="1167"/>
      <c r="L9" s="214" t="s">
        <v>466</v>
      </c>
      <c r="M9" s="500" t="s">
        <v>501</v>
      </c>
      <c r="N9" s="501"/>
      <c r="O9" s="1113"/>
      <c r="P9" s="1114"/>
      <c r="Q9" s="1114"/>
      <c r="R9" s="1114"/>
      <c r="S9" s="1115"/>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102" t="s">
        <v>571</v>
      </c>
      <c r="E11" s="1103"/>
      <c r="F11" s="1103"/>
      <c r="G11" s="1103"/>
      <c r="H11" s="1103"/>
      <c r="I11" s="1103"/>
      <c r="J11" s="1103"/>
      <c r="K11" s="1103"/>
      <c r="L11" s="1104"/>
      <c r="M11" s="1102" t="s">
        <v>580</v>
      </c>
      <c r="N11" s="1103"/>
      <c r="O11" s="1103"/>
      <c r="P11" s="1103"/>
      <c r="Q11" s="1103"/>
      <c r="R11" s="1104"/>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957</v>
      </c>
      <c r="D13" s="267" t="s">
        <v>261</v>
      </c>
      <c r="E13" s="267" t="s">
        <v>23</v>
      </c>
      <c r="F13" s="889">
        <v>4240</v>
      </c>
      <c r="G13" s="889" t="s">
        <v>354</v>
      </c>
      <c r="H13" s="889" t="s">
        <v>473</v>
      </c>
      <c r="I13" s="889" t="s">
        <v>87</v>
      </c>
      <c r="J13" s="889" t="str">
        <f>+IF(F13&gt;'Equipment Data'!$J$19,"yes","No")</f>
        <v>yes</v>
      </c>
      <c r="K13" s="889">
        <v>0.67</v>
      </c>
      <c r="L13" s="889" t="s">
        <v>354</v>
      </c>
      <c r="M13" s="172">
        <f>+IF(AND(D13="Compressor",E13="Centrifugal"),IF(F13&lt;'Equipment Data'!$J$19,10^('Equipment Data'!$C$19+'Equipment Data'!$D$19*LOG10(F13)+'Equipment Data'!$E$19*LOG10(F13)*LOG10(F13)),10^('Equipment Data'!$C$19+'Equipment Data'!$D$19*LOG10('Equipment Data'!$J$19)+'Equipment Data'!$E$19*LOG10('Equipment Data'!$J$19)*LOG10('Equipment Data'!$J$19))*(F13/'Equipment Data'!$J$19)^K13),"N/A")</f>
        <v>755715.64152604272</v>
      </c>
      <c r="N13" s="889" t="s">
        <v>354</v>
      </c>
      <c r="O13" s="392" t="s">
        <v>354</v>
      </c>
      <c r="P13" s="168">
        <f>+IF(I13="CS",'Equipment Data'!$F$19,IF(I13="SS",'Equipment Data'!$G$19,IF(I13="Ni",'Equipment Data'!$H$19,"N/A")))</f>
        <v>5.75</v>
      </c>
      <c r="Q13" s="169">
        <f t="shared" ref="Q13:Q14" si="0">+M13*P13</f>
        <v>4345364.9387747459</v>
      </c>
      <c r="R13" s="502">
        <v>1</v>
      </c>
      <c r="S13" s="217">
        <f>+IF(Tabla25879012013562889194[[#This Row],[Equipment]]="","",Q13*R13/10^6)</f>
        <v>4.3453649387747459</v>
      </c>
      <c r="T13" s="950">
        <f ca="1">+$S$53/$R$53*S13</f>
        <v>6.9307634034883021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1020</v>
      </c>
      <c r="D14" s="267" t="s">
        <v>518</v>
      </c>
      <c r="E14" s="267" t="s">
        <v>36</v>
      </c>
      <c r="F14" s="889">
        <f>+F13</f>
        <v>4240</v>
      </c>
      <c r="G14" s="889" t="s">
        <v>354</v>
      </c>
      <c r="H14" s="889" t="s">
        <v>473</v>
      </c>
      <c r="I14" s="889" t="s">
        <v>569</v>
      </c>
      <c r="J14" s="889" t="str">
        <f>+IF(F14&gt;'Equipment Data'!$H$40,"yes","No")</f>
        <v>yes</v>
      </c>
      <c r="K14" s="889">
        <v>0.67</v>
      </c>
      <c r="L14" s="889" t="s">
        <v>354</v>
      </c>
      <c r="M14" s="172">
        <f>+IF(AND(D14="Drive",E14="Explosion Proof"),IF(F14&lt;'Equipment Data'!$H$40,10^('Equipment Data'!$C$40+'Equipment Data'!$D$40*LOG10(F14)+'Equipment Data'!$E$40*LOG10(F14)*LOG10(F14)),10^('Equipment Data'!$C$40+LOG10('Equipment Data'!$H$40)*'Equipment Data'!$D$40+'Equipment Data'!$E$40*LOG10('Equipment Data'!$H$40)*LOG10('Equipment Data'!$H$40))*(F14/'Equipment Data'!$H$40)^K14),"N/A")</f>
        <v>224934.63548869092</v>
      </c>
      <c r="N14" s="889" t="s">
        <v>354</v>
      </c>
      <c r="O14" s="889" t="s">
        <v>354</v>
      </c>
      <c r="P14" s="168">
        <f>+'Equipment Data'!$F$40</f>
        <v>1.5</v>
      </c>
      <c r="Q14" s="169">
        <f t="shared" si="0"/>
        <v>337401.95323303639</v>
      </c>
      <c r="R14" s="503">
        <v>1</v>
      </c>
      <c r="S14" s="217">
        <f>+IF(Tabla25879012013562889194[[#This Row],[Equipment]]="","",Q14*R14/10^6)</f>
        <v>0.3374019532330364</v>
      </c>
      <c r="T14" s="950">
        <f t="shared" ref="T14:T44" ca="1" si="1">+$S$53/$R$53*S14</f>
        <v>0.53814884196869539</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958</v>
      </c>
      <c r="D15" s="267" t="s">
        <v>261</v>
      </c>
      <c r="E15" s="267" t="s">
        <v>23</v>
      </c>
      <c r="F15" s="889">
        <v>1153</v>
      </c>
      <c r="G15" s="889" t="s">
        <v>354</v>
      </c>
      <c r="H15" s="889" t="s">
        <v>473</v>
      </c>
      <c r="I15" s="889" t="s">
        <v>133</v>
      </c>
      <c r="J15" s="889" t="str">
        <f>+IF(F15&gt;'Equipment Data'!$J$19,"yes","No")</f>
        <v>No</v>
      </c>
      <c r="K15" s="889">
        <v>0.67</v>
      </c>
      <c r="L15" s="889" t="s">
        <v>354</v>
      </c>
      <c r="M15" s="172">
        <f>+IF(AND(D15="Compressor",E15="Centrifugal"),IF(F15&lt;'Equipment Data'!$J$19,10^('Equipment Data'!$C$19+'Equipment Data'!$D$19*LOG10(F15)+'Equipment Data'!$E$19*LOG10(F15)*LOG10(F15)),10^('Equipment Data'!$C$19+'Equipment Data'!$D$19*LOG10('Equipment Data'!$J$19)+'Equipment Data'!$E$19*LOG10('Equipment Data'!$J$19)*LOG10('Equipment Data'!$J$19))*(F15/'Equipment Data'!$J$19)^K15),"N/A")</f>
        <v>310184.97869058512</v>
      </c>
      <c r="N15" s="889" t="s">
        <v>354</v>
      </c>
      <c r="O15" s="392" t="s">
        <v>354</v>
      </c>
      <c r="P15" s="168">
        <f>+IF(I15="CS",'Equipment Data'!$F$19,IF(I15="SS",'Equipment Data'!$G$19,IF(I15="Ni",'Equipment Data'!$H$19,"N/A")))</f>
        <v>11.45</v>
      </c>
      <c r="Q15" s="169">
        <f t="shared" ref="Q15:Q19" si="2">+M15*P15</f>
        <v>3551618.0060071996</v>
      </c>
      <c r="R15" s="503">
        <v>1</v>
      </c>
      <c r="S15" s="217">
        <f>+IF(Tabla25879012013562889194[[#This Row],[Equipment]]="","",Q15*R15/10^6)</f>
        <v>3.5516180060071996</v>
      </c>
      <c r="T15" s="950">
        <f t="shared" ca="1" si="1"/>
        <v>5.6647541566774731</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1021</v>
      </c>
      <c r="D16" s="267" t="s">
        <v>518</v>
      </c>
      <c r="E16" s="267" t="s">
        <v>36</v>
      </c>
      <c r="F16" s="889">
        <f>+F15</f>
        <v>1153</v>
      </c>
      <c r="G16" s="889" t="s">
        <v>354</v>
      </c>
      <c r="H16" s="889" t="s">
        <v>473</v>
      </c>
      <c r="I16" s="889" t="s">
        <v>569</v>
      </c>
      <c r="J16" s="889" t="str">
        <f>+IF(F16&gt;'Equipment Data'!$H$40,"yes","No")</f>
        <v>No</v>
      </c>
      <c r="K16" s="889">
        <v>0.67</v>
      </c>
      <c r="L16" s="889" t="s">
        <v>354</v>
      </c>
      <c r="M16" s="172">
        <f>+IF(AND(D16="Drive",E16="Explosion Proof"),IF(F16&lt;'Equipment Data'!$H$40,10^('Equipment Data'!$C$40+'Equipment Data'!$D$40*LOG10(F16)+'Equipment Data'!$E$40*LOG10(F16)*LOG10(F16)),10^('Equipment Data'!$C$40+LOG10('Equipment Data'!$H$40)*'Equipment Data'!$D$40+'Equipment Data'!$E$40*LOG10('Equipment Data'!$H$40)*LOG10('Equipment Data'!$H$40))*(F16/'Equipment Data'!$H$40)^K16),"N/A")</f>
        <v>131781.11034803683</v>
      </c>
      <c r="N16" s="889" t="s">
        <v>354</v>
      </c>
      <c r="O16" s="889" t="s">
        <v>354</v>
      </c>
      <c r="P16" s="168">
        <f>+'Equipment Data'!$F$40</f>
        <v>1.5</v>
      </c>
      <c r="Q16" s="169">
        <f t="shared" si="2"/>
        <v>197671.66552205523</v>
      </c>
      <c r="R16" s="503">
        <v>1</v>
      </c>
      <c r="S16" s="217">
        <f>+IF(Tabla25879012013562889194[[#This Row],[Equipment]]="","",Q16*R16/10^6)</f>
        <v>0.19767166552205523</v>
      </c>
      <c r="T16" s="950">
        <f t="shared" ca="1" si="1"/>
        <v>0.31528204526203535</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959</v>
      </c>
      <c r="D17" s="267" t="s">
        <v>252</v>
      </c>
      <c r="E17" s="267" t="s">
        <v>117</v>
      </c>
      <c r="F17" s="392">
        <f>+X42*1000/3600/AD42</f>
        <v>189.20340601403097</v>
      </c>
      <c r="G17" s="889">
        <f>+AB42</f>
        <v>33</v>
      </c>
      <c r="H17" s="889" t="s">
        <v>352</v>
      </c>
      <c r="I17" s="889" t="s">
        <v>561</v>
      </c>
      <c r="J17" s="889" t="str">
        <f>+IF(F17&gt;'Equipment Data'!$L$126,"yes","No")</f>
        <v>No</v>
      </c>
      <c r="K17" s="889">
        <v>0.67</v>
      </c>
      <c r="L17" s="889" t="s">
        <v>529</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30333.489793728266</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1.1337293862072884</v>
      </c>
      <c r="O17" s="889">
        <f>+IF(I17="CS/CS",'Equipment Data'!$C$149,IF(I17="CS/Cu",'Equipment Data'!$D$149,IF(I17="Cu/Cu",'Equipment Data'!$E$149,IF(I17="CS/SS",'Equipment Data'!$F$149,IF(I17="SS/SS",'Equipment Data'!$G$149,IF(I17="CS/Ni",'Equipment Data'!$H$149,IF(I17="Ni/Ni",'Equipment Data'!$I$149,IF(I17="CS/Ti",'Equipment Data'!$J$149,IF(I17="Ti/Ti",'Equipment Data'!$K$149,"N/A")))))))))</f>
        <v>3.73</v>
      </c>
      <c r="P17" s="168">
        <f>+'Equipment Data'!$I$126+'Equipment Data'!$J$126*N17*O17</f>
        <v>8.6498256135182885</v>
      </c>
      <c r="Q17" s="169">
        <f t="shared" si="2"/>
        <v>262379.39696518634</v>
      </c>
      <c r="R17" s="503">
        <v>1</v>
      </c>
      <c r="S17" s="217">
        <f>+IF(Tabla25879012013562889194[[#This Row],[Equipment]]="","",Q17*R17/10^6)</f>
        <v>0.26237939696518636</v>
      </c>
      <c r="T17" s="950">
        <f t="shared" ca="1" si="1"/>
        <v>0.41848948199697111</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960</v>
      </c>
      <c r="D18" s="267" t="s">
        <v>252</v>
      </c>
      <c r="E18" s="267" t="s">
        <v>117</v>
      </c>
      <c r="F18" s="392">
        <f t="shared" ref="F18:F19" si="3">+X43*1000/3600/AD43</f>
        <v>77.757334798639192</v>
      </c>
      <c r="G18" s="889">
        <f t="shared" ref="G18:G19" si="4">+AB43</f>
        <v>31.8</v>
      </c>
      <c r="H18" s="889" t="s">
        <v>352</v>
      </c>
      <c r="I18" s="889" t="s">
        <v>474</v>
      </c>
      <c r="J18" s="889" t="str">
        <f>+IF(F18&gt;'Equipment Data'!$L$126,"yes","No")</f>
        <v>No</v>
      </c>
      <c r="K18" s="889">
        <v>0.67</v>
      </c>
      <c r="L18" s="889" t="s">
        <v>127</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21674.2711512432</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1.0381861957839271</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4.7493342438523873</v>
      </c>
      <c r="Q18" s="169">
        <f t="shared" si="2"/>
        <v>102938.35818914123</v>
      </c>
      <c r="R18" s="503">
        <v>1</v>
      </c>
      <c r="S18" s="217">
        <f>+IF(Tabla25879012013562889194[[#This Row],[Equipment]]="","",Q18*R18/10^6)</f>
        <v>0.10293835818914124</v>
      </c>
      <c r="T18" s="950">
        <f t="shared" ca="1" si="1"/>
        <v>0.16418446224993893</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t="s">
        <v>961</v>
      </c>
      <c r="D19" s="267" t="s">
        <v>252</v>
      </c>
      <c r="E19" s="267" t="s">
        <v>117</v>
      </c>
      <c r="F19" s="392">
        <f t="shared" si="3"/>
        <v>89.287563898141912</v>
      </c>
      <c r="G19" s="889">
        <f t="shared" si="4"/>
        <v>60</v>
      </c>
      <c r="H19" s="889" t="s">
        <v>352</v>
      </c>
      <c r="I19" s="889" t="s">
        <v>485</v>
      </c>
      <c r="J19" s="889" t="str">
        <f>+IF(F19&gt;'Equipment Data'!$L$126,"yes","No")</f>
        <v>No</v>
      </c>
      <c r="K19" s="889">
        <v>0.67</v>
      </c>
      <c r="L19" s="889" t="s">
        <v>127</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22669.554900950599</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1.0612675802638827</v>
      </c>
      <c r="O19" s="889">
        <f>+IF(I19="CS/CS",'Equipment Data'!$C$149,IF(I19="CS/Cu",'Equipment Data'!$D$149,IF(I19="Cu/Cu",'Equipment Data'!$E$149,IF(I19="CS/SS",'Equipment Data'!$F$149,IF(I19="SS/SS",'Equipment Data'!$G$149,IF(I19="CS/Ni",'Equipment Data'!$H$149,IF(I19="Ni/Ni",'Equipment Data'!$I$149,IF(I19="CS/Ti",'Equipment Data'!$J$149,IF(I19="Ti/Ti",'Equipment Data'!$K$149,"N/A")))))))))</f>
        <v>2.68</v>
      </c>
      <c r="P19" s="168">
        <f>+'Equipment Data'!$I$126+'Equipment Data'!$J$126*N19*O19</f>
        <v>6.3513672110779611</v>
      </c>
      <c r="Q19" s="169">
        <f t="shared" si="2"/>
        <v>143982.66768762932</v>
      </c>
      <c r="R19" s="503">
        <v>1</v>
      </c>
      <c r="S19" s="217">
        <f>+IF(Tabla25879012013562889194[[#This Row],[Equipment]]="","",Q19*R19/10^6)</f>
        <v>0.14398266768762932</v>
      </c>
      <c r="T19" s="950">
        <f t="shared" ca="1" si="1"/>
        <v>0.22964925110005094</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962</v>
      </c>
      <c r="D20" s="267" t="s">
        <v>260</v>
      </c>
      <c r="E20" s="267" t="s">
        <v>201</v>
      </c>
      <c r="F20" s="168">
        <f>+AE38+AD38</f>
        <v>1.789919822448617</v>
      </c>
      <c r="G20" s="889">
        <f>+AF38</f>
        <v>31</v>
      </c>
      <c r="H20" s="889" t="s">
        <v>471</v>
      </c>
      <c r="I20" s="889" t="s">
        <v>188</v>
      </c>
      <c r="J20" s="889" t="str">
        <f>+IF(F20&gt;'Equipment Data'!$F$239,"yes","No")</f>
        <v>No</v>
      </c>
      <c r="K20" s="889">
        <v>0.67</v>
      </c>
      <c r="L20" s="168">
        <f>+AB38</f>
        <v>1.0123848174146926</v>
      </c>
      <c r="M20" s="172">
        <f>+IF(AND(D20="Vessel",E20="Vertical"),IF(F20&lt;'Equipment Data'!$F$239,10^('Equipment Data'!$B$239+'Equipment Data'!$C$239*LOG10(F20)+'Equipment Data'!$D$239*LOG10(F20)*LOG10(F20)),10^('Equipment Data'!$B$239+'Equipment Data'!$C$239*LOG10('Equipment Data'!$F$239)+'Equipment Data'!$D$239*LOG10('Equipment Data'!$F$239)*LOG10('Equipment Data'!$F$239))*(F20/'Equipment Data'!$F$239)^K20),"N/A")</f>
        <v>4146.3063330441482</v>
      </c>
      <c r="N20" s="171">
        <f>+IF(L20="","Input Diameter in m",IF(G20&gt;0.5,IF(((G20*L20)/(2*(850-0.6*G20))+0.00315)/0.0063&lt;1,1,((G20*L20)/(2*(850-0.6*G20))+0.00315)/0.0063),1.25))</f>
        <v>3.4958961304374214</v>
      </c>
      <c r="O20" s="889">
        <f>+IF(I20="CS",'Equipment Data'!$C$247,IF(I20="SS Clad",'Equipment Data'!$C$248,IF(I20="SS",'Equipment Data'!$C$249,IF(I20="Ni Clad",'Equipment Data'!$C$250,IF(I20="Ni",'Equipment Data'!$C$251,IF(I20="Ti Clad",'Equipment Data'!$C$252,IF(I20="Ti",'Equipment Data'!$C$253,"N/A")))))))</f>
        <v>1.74</v>
      </c>
      <c r="P20" s="169">
        <f>+'Equipment Data'!$C$244+'Equipment Data'!$D$244*N20*O20</f>
        <v>13.320803865869227</v>
      </c>
      <c r="Q20" s="169">
        <f>+M20*P20</f>
        <v>55232.133430292546</v>
      </c>
      <c r="R20" s="503">
        <v>1</v>
      </c>
      <c r="S20" s="217">
        <f>+IF(Tabla25879012013562889194[[#This Row],[Equipment]]="","",Q20*R20/10^6)</f>
        <v>5.5232133430292547E-2</v>
      </c>
      <c r="T20" s="950">
        <f t="shared" ca="1" si="1"/>
        <v>8.8094062171724524E-2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IF(Tabla27889112113663899295[[#This Row],[Subtype]]="","",VLOOKUP(Tabla27889112113663899295[[#This Row],[Subtype]],'Unit-X00 Equipment'!$E$13:$H$107,4,FALSE))</f>
        <v/>
      </c>
      <c r="I21" s="889"/>
      <c r="J21" s="889"/>
      <c r="K21" s="889"/>
      <c r="L21" s="889"/>
      <c r="M21" s="269"/>
      <c r="N21" s="392"/>
      <c r="O21" s="392"/>
      <c r="P21" s="392"/>
      <c r="Q21" s="392"/>
      <c r="R21" s="503"/>
      <c r="S21" s="217" t="str">
        <f>+IF(Tabla25879012013562889194[[#This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IF(Tabla27889112113663899295[[#This Row],[Subtype]]="","",VLOOKUP(Tabla27889112113663899295[[#This Row],[Subtype]],'Unit-X00 Equipment'!$E$13:$H$107,4,FALSE))</f>
        <v/>
      </c>
      <c r="I22" s="889"/>
      <c r="J22" s="889"/>
      <c r="K22" s="889"/>
      <c r="L22" s="889"/>
      <c r="M22" s="269"/>
      <c r="N22" s="392"/>
      <c r="O22" s="392"/>
      <c r="P22" s="392"/>
      <c r="Q22" s="392"/>
      <c r="R22" s="503"/>
      <c r="S22" s="217" t="str">
        <f>+IF(Tabla25879012013562889194[[#This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IF(Tabla27889112113663899295[[#This Row],[Subtype]]="","",VLOOKUP(Tabla27889112113663899295[[#This Row],[Subtype]],'Unit-X00 Equipment'!$E$13:$H$107,4,FALSE))</f>
        <v/>
      </c>
      <c r="I23" s="889"/>
      <c r="J23" s="889"/>
      <c r="K23" s="889"/>
      <c r="L23" s="889"/>
      <c r="M23" s="269"/>
      <c r="N23" s="392"/>
      <c r="O23" s="392"/>
      <c r="P23" s="392"/>
      <c r="Q23" s="392"/>
      <c r="R23" s="503"/>
      <c r="S23" s="217" t="str">
        <f>+IF(Tabla25879012013562889194[[#This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IF(Tabla27889112113663899295[[#This Row],[Subtype]]="","",VLOOKUP(Tabla27889112113663899295[[#This Row],[Subtype]],'Unit-X00 Equipment'!$E$13:$H$107,4,FALSE))</f>
        <v/>
      </c>
      <c r="I24" s="889"/>
      <c r="J24" s="889"/>
      <c r="K24" s="889"/>
      <c r="L24" s="889"/>
      <c r="M24" s="269"/>
      <c r="N24" s="392"/>
      <c r="O24" s="392"/>
      <c r="P24" s="392"/>
      <c r="Q24" s="392"/>
      <c r="R24" s="503"/>
      <c r="S24" s="217" t="str">
        <f>+IF(Tabla25879012013562889194[[#This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IF(Tabla27889112113663899295[[#This Row],[Subtype]]="","",VLOOKUP(Tabla27889112113663899295[[#This Row],[Subtype]],'Unit-X00 Equipment'!$E$13:$H$107,4,FALSE))</f>
        <v/>
      </c>
      <c r="I25" s="889"/>
      <c r="J25" s="889"/>
      <c r="K25" s="889"/>
      <c r="L25" s="889"/>
      <c r="M25" s="269"/>
      <c r="N25" s="392"/>
      <c r="O25" s="392"/>
      <c r="P25" s="392"/>
      <c r="Q25" s="392"/>
      <c r="R25" s="503"/>
      <c r="S25" s="217" t="str">
        <f>+IF(Tabla25879012013562889194[[#This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IF(Tabla27889112113663899295[[#This Row],[Subtype]]="","",VLOOKUP(Tabla27889112113663899295[[#This Row],[Subtype]],'Unit-X00 Equipment'!$E$13:$H$107,4,FALSE))</f>
        <v/>
      </c>
      <c r="I26" s="889"/>
      <c r="J26" s="889"/>
      <c r="K26" s="889"/>
      <c r="L26" s="889"/>
      <c r="M26" s="269"/>
      <c r="N26" s="392"/>
      <c r="O26" s="392"/>
      <c r="P26" s="392"/>
      <c r="Q26" s="392"/>
      <c r="R26" s="503"/>
      <c r="S26" s="217" t="str">
        <f>+IF(Tabla25879012013562889194[[#This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IF(Tabla27889112113663899295[[#This Row],[Subtype]]="","",VLOOKUP(Tabla27889112113663899295[[#This Row],[Subtype]],'Unit-X00 Equipment'!$E$13:$H$107,4,FALSE))</f>
        <v/>
      </c>
      <c r="I27" s="889"/>
      <c r="J27" s="889"/>
      <c r="K27" s="889"/>
      <c r="L27" s="889"/>
      <c r="M27" s="269"/>
      <c r="N27" s="392"/>
      <c r="O27" s="392"/>
      <c r="P27" s="392"/>
      <c r="Q27" s="392"/>
      <c r="R27" s="503"/>
      <c r="S27" s="217" t="str">
        <f>+IF(Tabla25879012013562889194[[#This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IF(Tabla27889112113663899295[[#This Row],[Subtype]]="","",VLOOKUP(Tabla27889112113663899295[[#This Row],[Subtype]],'Unit-X00 Equipment'!$E$13:$H$107,4,FALSE))</f>
        <v/>
      </c>
      <c r="I28" s="889"/>
      <c r="J28" s="889"/>
      <c r="K28" s="889"/>
      <c r="L28" s="889"/>
      <c r="M28" s="269"/>
      <c r="N28" s="392"/>
      <c r="O28" s="392"/>
      <c r="P28" s="392"/>
      <c r="Q28" s="392"/>
      <c r="R28" s="503"/>
      <c r="S28" s="217" t="str">
        <f>+IF(Tabla25879012013562889194[[#This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IF(Tabla27889112113663899295[[#This Row],[Subtype]]="","",VLOOKUP(Tabla27889112113663899295[[#This Row],[Subtype]],'Unit-X00 Equipment'!$E$13:$H$107,4,FALSE))</f>
        <v/>
      </c>
      <c r="I29" s="889"/>
      <c r="J29" s="889"/>
      <c r="K29" s="889"/>
      <c r="L29" s="889"/>
      <c r="M29" s="269"/>
      <c r="N29" s="392"/>
      <c r="O29" s="392"/>
      <c r="P29" s="392"/>
      <c r="Q29" s="392"/>
      <c r="R29" s="503"/>
      <c r="S29" s="217" t="str">
        <f>+IF(Tabla25879012013562889194[[#This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IF(Tabla27889112113663899295[[#This Row],[Subtype]]="","",VLOOKUP(Tabla27889112113663899295[[#This Row],[Subtype]],'Unit-X00 Equipment'!$E$13:$H$107,4,FALSE))</f>
        <v/>
      </c>
      <c r="I30" s="889"/>
      <c r="J30" s="889"/>
      <c r="K30" s="889"/>
      <c r="L30" s="889"/>
      <c r="M30" s="269"/>
      <c r="N30" s="392"/>
      <c r="O30" s="392"/>
      <c r="P30" s="392"/>
      <c r="Q30" s="392"/>
      <c r="R30" s="503"/>
      <c r="S30" s="217" t="str">
        <f>+IF(Tabla25879012013562889194[[#This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IF(Tabla27889112113663899295[[#This Row],[Subtype]]="","",VLOOKUP(Tabla27889112113663899295[[#This Row],[Subtype]],'Unit-X00 Equipment'!$E$13:$H$107,4,FALSE))</f>
        <v/>
      </c>
      <c r="I31" s="889"/>
      <c r="J31" s="889"/>
      <c r="K31" s="889"/>
      <c r="L31" s="889"/>
      <c r="M31" s="269"/>
      <c r="N31" s="392"/>
      <c r="O31" s="392"/>
      <c r="P31" s="392"/>
      <c r="Q31" s="392"/>
      <c r="R31" s="503"/>
      <c r="S31" s="217" t="str">
        <f>+IF(Tabla25879012013562889194[[#This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IF(Tabla27889112113663899295[[#This Row],[Subtype]]="","",VLOOKUP(Tabla27889112113663899295[[#This Row],[Subtype]],'Unit-X00 Equipment'!$E$13:$H$107,4,FALSE))</f>
        <v/>
      </c>
      <c r="I32" s="889"/>
      <c r="J32" s="889"/>
      <c r="K32" s="889"/>
      <c r="L32" s="889"/>
      <c r="M32" s="172"/>
      <c r="N32" s="889"/>
      <c r="O32" s="889"/>
      <c r="P32" s="168"/>
      <c r="Q32" s="169"/>
      <c r="R32" s="503"/>
      <c r="S32" s="217" t="str">
        <f>+IF(Tabla25879012013562889194[[#This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IF(Tabla27889112113663899295[[#This Row],[Subtype]]="","",VLOOKUP(Tabla27889112113663899295[[#This Row],[Subtype]],'Unit-X00 Equipment'!$E$13:$H$107,4,FALSE))</f>
        <v/>
      </c>
      <c r="I33" s="889"/>
      <c r="J33" s="889"/>
      <c r="K33" s="889"/>
      <c r="L33" s="889"/>
      <c r="M33" s="172"/>
      <c r="N33" s="889"/>
      <c r="O33" s="889"/>
      <c r="P33" s="392"/>
      <c r="Q33" s="169"/>
      <c r="R33" s="503"/>
      <c r="S33" s="217" t="str">
        <f>+IF(Tabla25879012013562889194[[#This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IF(Tabla27889112113663899295[[#This Row],[Subtype]]="","",VLOOKUP(Tabla27889112113663899295[[#This Row],[Subtype]],'Unit-X00 Equipment'!$E$13:$H$107,4,FALSE))</f>
        <v/>
      </c>
      <c r="I34" s="889"/>
      <c r="J34" s="889"/>
      <c r="K34" s="889"/>
      <c r="L34" s="889"/>
      <c r="M34" s="172"/>
      <c r="N34" s="889"/>
      <c r="O34" s="889"/>
      <c r="P34" s="889"/>
      <c r="Q34" s="169"/>
      <c r="R34" s="503"/>
      <c r="S34" s="217" t="str">
        <f>+IF(Tabla25879012013562889194[[#This Row],[Equipment]]="","",Q34*R34/10^6)</f>
        <v/>
      </c>
      <c r="T34" s="950" t="e">
        <f t="shared" ca="1" si="1"/>
        <v>#VALUE!</v>
      </c>
      <c r="U34" s="105"/>
      <c r="V34" s="116"/>
      <c r="W34" s="1096" t="str">
        <f>+E6&amp;" Calculations"</f>
        <v>H₂ Production Calculations</v>
      </c>
      <c r="X34" s="1097"/>
      <c r="Y34" s="1097"/>
      <c r="Z34" s="1097"/>
      <c r="AA34" s="1097"/>
      <c r="AB34" s="1097"/>
      <c r="AC34" s="1097"/>
      <c r="AD34" s="1097"/>
      <c r="AE34" s="1097"/>
      <c r="AF34" s="1097"/>
      <c r="AG34" s="1097"/>
      <c r="AH34" s="1097"/>
      <c r="AI34" s="1097"/>
      <c r="AJ34" s="1097"/>
      <c r="AK34" s="1097"/>
      <c r="AL34" s="1097"/>
      <c r="AM34" s="1097"/>
      <c r="AN34" s="1098"/>
      <c r="AO34" s="113"/>
      <c r="AP34" s="105"/>
      <c r="AQ34" s="241"/>
      <c r="AR34" s="452"/>
    </row>
    <row r="35" spans="1:44" ht="16.2" customHeight="1" x14ac:dyDescent="0.3">
      <c r="A35" s="83"/>
      <c r="B35" s="104"/>
      <c r="C35" s="440"/>
      <c r="D35" s="233"/>
      <c r="E35" s="267"/>
      <c r="F35" s="392"/>
      <c r="G35" s="392"/>
      <c r="H35" s="512" t="str">
        <f>IF(Tabla27889112113663899295[[#This Row],[Subtype]]="","",VLOOKUP(Tabla27889112113663899295[[#This Row],[Subtype]],'Unit-X00 Equipment'!$E$13:$H$107,4,FALSE))</f>
        <v/>
      </c>
      <c r="I35" s="889"/>
      <c r="J35" s="889"/>
      <c r="K35" s="889"/>
      <c r="L35" s="889"/>
      <c r="M35" s="172"/>
      <c r="N35" s="889"/>
      <c r="O35" s="889"/>
      <c r="P35" s="889"/>
      <c r="Q35" s="169"/>
      <c r="R35" s="503"/>
      <c r="S35" s="217" t="str">
        <f>+IF(Tabla25879012013562889194[[#This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IF(Tabla27889112113663899295[[#This Row],[Subtype]]="","",VLOOKUP(Tabla27889112113663899295[[#This Row],[Subtype]],'Unit-X00 Equipment'!$E$13:$H$107,4,FALSE))</f>
        <v/>
      </c>
      <c r="I36" s="889"/>
      <c r="J36" s="889"/>
      <c r="K36" s="889"/>
      <c r="L36" s="889"/>
      <c r="M36" s="172"/>
      <c r="N36" s="889"/>
      <c r="O36" s="889"/>
      <c r="P36" s="889"/>
      <c r="Q36" s="169"/>
      <c r="R36" s="503"/>
      <c r="S36" s="217" t="str">
        <f>+IF(Tabla25879012013562889194[[#This Row],[Equipment]]="","",Q36*R36/10^6)</f>
        <v/>
      </c>
      <c r="T36" s="950" t="e">
        <f t="shared" ca="1" si="1"/>
        <v>#VALUE!</v>
      </c>
      <c r="U36" s="105"/>
      <c r="V36" s="806"/>
      <c r="W36" s="1204" t="s">
        <v>856</v>
      </c>
      <c r="X36" s="1205"/>
      <c r="Y36" s="1205"/>
      <c r="Z36" s="1205"/>
      <c r="AA36" s="1205"/>
      <c r="AB36" s="1205"/>
      <c r="AC36" s="1205"/>
      <c r="AD36" s="1205"/>
      <c r="AE36" s="1205"/>
      <c r="AF36" s="1206"/>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IF(Tabla27889112113663899295[[#This Row],[Subtype]]="","",VLOOKUP(Tabla27889112113663899295[[#This Row],[Subtype]],'Unit-X00 Equipment'!$E$13:$H$107,4,FALSE))</f>
        <v/>
      </c>
      <c r="I37" s="889"/>
      <c r="J37" s="889"/>
      <c r="K37" s="889"/>
      <c r="L37" s="889"/>
      <c r="M37" s="172"/>
      <c r="N37" s="889"/>
      <c r="O37" s="889"/>
      <c r="P37" s="889"/>
      <c r="Q37" s="169"/>
      <c r="R37" s="503"/>
      <c r="S37" s="217" t="str">
        <f>+IF(Tabla25879012013562889194[[#This Row],[Equipment]]="","",Q37*R37/10^6)</f>
        <v/>
      </c>
      <c r="T37" s="950" t="e">
        <f t="shared" ca="1" si="1"/>
        <v>#VALUE!</v>
      </c>
      <c r="U37" s="105"/>
      <c r="V37" s="806"/>
      <c r="W37" s="865" t="s">
        <v>461</v>
      </c>
      <c r="X37" s="865" t="s">
        <v>857</v>
      </c>
      <c r="Y37" s="865" t="s">
        <v>858</v>
      </c>
      <c r="Z37" s="865" t="s">
        <v>859</v>
      </c>
      <c r="AA37" s="865" t="s">
        <v>860</v>
      </c>
      <c r="AB37" s="865" t="s">
        <v>865</v>
      </c>
      <c r="AC37" s="865" t="s">
        <v>861</v>
      </c>
      <c r="AD37" s="826" t="s">
        <v>862</v>
      </c>
      <c r="AE37" s="827" t="s">
        <v>863</v>
      </c>
      <c r="AF37" s="830" t="s">
        <v>866</v>
      </c>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IF(Tabla27889112113663899295[[#This Row],[Subtype]]="","",VLOOKUP(Tabla27889112113663899295[[#This Row],[Subtype]],'Unit-X00 Equipment'!$E$13:$H$107,4,FALSE))</f>
        <v/>
      </c>
      <c r="I38" s="889"/>
      <c r="J38" s="889"/>
      <c r="K38" s="889"/>
      <c r="L38" s="889"/>
      <c r="M38" s="172"/>
      <c r="N38" s="889"/>
      <c r="O38" s="889"/>
      <c r="P38" s="889"/>
      <c r="Q38" s="169"/>
      <c r="R38" s="503"/>
      <c r="S38" s="217" t="str">
        <f>+IF(Tabla25879012013562889194[[#This Row],[Equipment]]="","",Q38*R38/10^6)</f>
        <v/>
      </c>
      <c r="T38" s="950" t="e">
        <f t="shared" ca="1" si="1"/>
        <v>#VALUE!</v>
      </c>
      <c r="U38" s="105"/>
      <c r="V38" s="806"/>
      <c r="W38" s="865" t="str">
        <f>+C20</f>
        <v>V-501</v>
      </c>
      <c r="X38" s="831">
        <f>395.739814894027/3600</f>
        <v>0.10992772635945194</v>
      </c>
      <c r="Y38" s="831">
        <f>5.84986636018151/3600</f>
        <v>1.6249628778281973E-3</v>
      </c>
      <c r="Z38" s="831">
        <v>1013.47426173381</v>
      </c>
      <c r="AA38" s="831">
        <v>66.572762396273802</v>
      </c>
      <c r="AB38" s="826">
        <f t="shared" ref="AB38" si="5">+(AC38*4/PI())^0.5</f>
        <v>1.0123848174146926</v>
      </c>
      <c r="AC38" s="831">
        <f>+X38/(0.035*(Z38/AA38)^0.5)</f>
        <v>0.80497265637862914</v>
      </c>
      <c r="AD38" s="831">
        <f>+AC38*(4*AC38/PI())^0.5</f>
        <v>0.81494209575169851</v>
      </c>
      <c r="AE38" s="831">
        <f>600*Y38</f>
        <v>0.9749777266969184</v>
      </c>
      <c r="AF38" s="830">
        <v>31</v>
      </c>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IF(Tabla27889112113663899295[[#This Row],[Subtype]]="","",VLOOKUP(Tabla27889112113663899295[[#This Row],[Subtype]],'Unit-X00 Equipment'!$E$13:$H$107,4,FALSE))</f>
        <v/>
      </c>
      <c r="I39" s="92"/>
      <c r="J39" s="92"/>
      <c r="K39" s="92"/>
      <c r="L39" s="92"/>
      <c r="M39" s="270"/>
      <c r="N39" s="92"/>
      <c r="O39" s="92"/>
      <c r="P39" s="92"/>
      <c r="Q39" s="271"/>
      <c r="R39" s="504"/>
      <c r="S39" s="217" t="str">
        <f>+IF(Tabla25879012013562889194[[#This Row],[Equipment]]="","",Q39*R39/10^6)</f>
        <v/>
      </c>
      <c r="T39" s="950" t="e">
        <f t="shared" ca="1" si="1"/>
        <v>#VALUE!</v>
      </c>
      <c r="U39" s="105"/>
      <c r="V39" s="80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IF(Tabla27889112113663899295[[#This Row],[Subtype]]="","",VLOOKUP(Tabla27889112113663899295[[#This Row],[Subtype]],'Unit-X00 Equipment'!$E$13:$H$107,4,FALSE))</f>
        <v/>
      </c>
      <c r="I40" s="92"/>
      <c r="J40" s="92"/>
      <c r="K40" s="92"/>
      <c r="L40" s="92"/>
      <c r="M40" s="270"/>
      <c r="N40" s="92"/>
      <c r="O40" s="92"/>
      <c r="P40" s="92"/>
      <c r="Q40" s="271"/>
      <c r="R40" s="504"/>
      <c r="S40" s="217" t="str">
        <f>+IF(Tabla25879012013562889194[[#This Row],[Equipment]]="","",Q40*R40/10^6)</f>
        <v/>
      </c>
      <c r="T40" s="950" t="e">
        <f t="shared" ca="1" si="1"/>
        <v>#VALUE!</v>
      </c>
      <c r="U40" s="105"/>
      <c r="V40" s="806"/>
      <c r="W40" s="1198" t="s">
        <v>822</v>
      </c>
      <c r="X40" s="1199"/>
      <c r="Y40" s="1200"/>
      <c r="Z40" s="1176" t="s">
        <v>823</v>
      </c>
      <c r="AA40" s="1094"/>
      <c r="AB40" s="1176" t="s">
        <v>824</v>
      </c>
      <c r="AC40" s="1094"/>
      <c r="AD40" s="865" t="s">
        <v>825</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IF(Tabla27889112113663899295[[#This Row],[Subtype]]="","",VLOOKUP(Tabla27889112113663899295[[#This Row],[Subtype]],'Unit-X00 Equipment'!$E$13:$H$107,4,FALSE))</f>
        <v/>
      </c>
      <c r="I41" s="889"/>
      <c r="J41" s="889"/>
      <c r="K41" s="889"/>
      <c r="L41" s="889"/>
      <c r="M41" s="172"/>
      <c r="N41" s="889"/>
      <c r="O41" s="889"/>
      <c r="P41" s="168"/>
      <c r="Q41" s="169"/>
      <c r="R41" s="503"/>
      <c r="S41" s="217" t="str">
        <f>+IF(Tabla25879012013562889194[[#This Row],[Equipment]]="","",Q41*R41/10^6)</f>
        <v/>
      </c>
      <c r="T41" s="950" t="e">
        <f t="shared" ca="1" si="1"/>
        <v>#VALUE!</v>
      </c>
      <c r="U41" s="105"/>
      <c r="V41" s="806"/>
      <c r="W41" s="865" t="s">
        <v>350</v>
      </c>
      <c r="X41" s="865" t="s">
        <v>826</v>
      </c>
      <c r="Y41" s="865" t="s">
        <v>827</v>
      </c>
      <c r="Z41" s="808" t="s">
        <v>828</v>
      </c>
      <c r="AA41" s="808" t="s">
        <v>829</v>
      </c>
      <c r="AB41" s="810" t="s">
        <v>828</v>
      </c>
      <c r="AC41" s="808" t="s">
        <v>829</v>
      </c>
      <c r="AD41" s="186" t="s">
        <v>830</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IF(Tabla27889112113663899295[[#This Row],[Subtype]]="","",VLOOKUP(Tabla27889112113663899295[[#This Row],[Subtype]],'Unit-X00 Equipment'!$E$13:$H$107,4,FALSE))</f>
        <v/>
      </c>
      <c r="I42" s="889"/>
      <c r="J42" s="889"/>
      <c r="K42" s="889"/>
      <c r="L42" s="889"/>
      <c r="M42" s="172"/>
      <c r="N42" s="889"/>
      <c r="O42" s="889"/>
      <c r="P42" s="392"/>
      <c r="Q42" s="169"/>
      <c r="R42" s="503"/>
      <c r="S42" s="217" t="str">
        <f>+IF(Tabla25879012013562889194[[#This Row],[Equipment]]="","",Q42*R42/10^6)</f>
        <v/>
      </c>
      <c r="T42" s="950" t="e">
        <f t="shared" ca="1" si="1"/>
        <v>#VALUE!</v>
      </c>
      <c r="U42" s="105"/>
      <c r="V42" s="806"/>
      <c r="W42" s="865" t="s">
        <v>833</v>
      </c>
      <c r="X42" s="865">
        <v>155782.486188132</v>
      </c>
      <c r="Y42" s="871" t="s">
        <v>835</v>
      </c>
      <c r="Z42" s="671">
        <v>32</v>
      </c>
      <c r="AA42" s="814">
        <f>IF(Z42="Ph. Ch.",$Y$52,IF(Z42="Liquid",$Y$51,$Y$49*Z42^$Y$50))</f>
        <v>452.54833995939038</v>
      </c>
      <c r="AB42" s="809">
        <v>33</v>
      </c>
      <c r="AC42" s="815">
        <f>IF(AB42="Ph. Ch.",$Y$52,IF(AB42="Liquid",$Y$51,$Y$49*AB42^$Y$50))</f>
        <v>462.40204833587438</v>
      </c>
      <c r="AD42" s="816">
        <f>1/(1/AA42+1/AC42)</f>
        <v>228.71106679140664</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IF(Tabla27889112113663899295[[#This Row],[Subtype]]="","",VLOOKUP(Tabla27889112113663899295[[#This Row],[Subtype]],'Unit-X00 Equipment'!$E$13:$H$107,4,FALSE))</f>
        <v/>
      </c>
      <c r="I43" s="889"/>
      <c r="J43" s="889"/>
      <c r="K43" s="889"/>
      <c r="L43" s="889"/>
      <c r="M43" s="332"/>
      <c r="N43" s="892"/>
      <c r="O43" s="892"/>
      <c r="P43" s="892"/>
      <c r="Q43" s="333"/>
      <c r="R43" s="505"/>
      <c r="S43" s="217" t="str">
        <f>+IF(Tabla25879012013562889194[[#This Row],[Equipment]]="","",Q43*R43/10^6)</f>
        <v/>
      </c>
      <c r="T43" s="950" t="e">
        <f t="shared" ca="1" si="1"/>
        <v>#VALUE!</v>
      </c>
      <c r="U43" s="105"/>
      <c r="V43" s="806"/>
      <c r="W43" s="865" t="s">
        <v>834</v>
      </c>
      <c r="X43" s="865">
        <v>96991.421098260995</v>
      </c>
      <c r="Y43" s="871" t="s">
        <v>871</v>
      </c>
      <c r="Z43" s="867" t="s">
        <v>819</v>
      </c>
      <c r="AA43" s="506">
        <f>IF(Z43="Ph. Ch.",$Y$52,IF(Z43="Liquid",$Y$51,$Y$49*Z43^$Y$50))</f>
        <v>1500</v>
      </c>
      <c r="AB43" s="862">
        <v>31.8</v>
      </c>
      <c r="AC43" s="385">
        <f>IF(AB43="Ph. Ch.",$Y$52,IF(AB43="Liquid",$Y$51,$Y$49*AB43^$Y$50))</f>
        <v>450.56657977153918</v>
      </c>
      <c r="AD43" s="817">
        <f t="shared" ref="AD43:AD44" si="6">1/(1/AA43+1/AC43)</f>
        <v>346.48900307543869</v>
      </c>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103" t="s">
        <v>536</v>
      </c>
      <c r="E44" s="1103"/>
      <c r="F44" s="1103"/>
      <c r="G44" s="1103"/>
      <c r="H44" s="1103"/>
      <c r="I44" s="1103"/>
      <c r="J44" s="1103"/>
      <c r="K44" s="1103"/>
      <c r="L44" s="1103"/>
      <c r="M44" s="1171"/>
      <c r="N44" s="1171"/>
      <c r="O44" s="1171"/>
      <c r="P44" s="1171"/>
      <c r="Q44" s="1171"/>
      <c r="R44" s="1171"/>
      <c r="S44" s="443"/>
      <c r="T44" s="950">
        <f t="shared" ca="1" si="1"/>
        <v>0</v>
      </c>
      <c r="U44" s="105"/>
      <c r="V44" s="806"/>
      <c r="W44" s="865" t="s">
        <v>869</v>
      </c>
      <c r="X44" s="865">
        <v>153814.24297287999</v>
      </c>
      <c r="Y44" s="871" t="s">
        <v>872</v>
      </c>
      <c r="Z44" s="868" t="s">
        <v>819</v>
      </c>
      <c r="AA44" s="838">
        <f>IF(Z44="Ph. Ch.",$Y$52,IF(Z44="Liquid",$Y$51,$Y$49*Z44^$Y$50))</f>
        <v>1500</v>
      </c>
      <c r="AB44" s="870">
        <v>60</v>
      </c>
      <c r="AC44" s="839">
        <f>IF(AB44="Ph. Ch.",$Y$52,IF(AB44="Liquid",$Y$51,$Y$49*AB44^$Y$50))</f>
        <v>702.69338725256512</v>
      </c>
      <c r="AD44" s="840">
        <f t="shared" si="6"/>
        <v>478.5232874347343</v>
      </c>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42" t="s">
        <v>469</v>
      </c>
      <c r="S45" s="589" t="s">
        <v>496</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384" t="s">
        <v>1022</v>
      </c>
      <c r="D46" s="885" t="s">
        <v>956</v>
      </c>
      <c r="E46" s="886" t="s">
        <v>876</v>
      </c>
      <c r="F46" s="383" t="s">
        <v>455</v>
      </c>
      <c r="G46" s="383">
        <v>2014</v>
      </c>
      <c r="H46" s="383" t="s">
        <v>487</v>
      </c>
      <c r="I46" s="886" t="s">
        <v>815</v>
      </c>
      <c r="J46" s="886" t="s">
        <v>877</v>
      </c>
      <c r="K46" s="886">
        <v>1</v>
      </c>
      <c r="L46" s="887">
        <v>0.67</v>
      </c>
      <c r="M46" s="885">
        <v>1</v>
      </c>
      <c r="N46" s="219">
        <v>7.2897222222222222</v>
      </c>
      <c r="O46" s="222">
        <v>44</v>
      </c>
      <c r="P46" s="794">
        <v>1</v>
      </c>
      <c r="Q46" s="960">
        <f>0.7085</f>
        <v>0.70850000000000002</v>
      </c>
      <c r="R46" s="223">
        <f>IF(ISBLANK(Q46),"",(P46/M46)^K46*O46*((Q46/P46)/(N46/M46))^L46)</f>
        <v>9.2291992620926742</v>
      </c>
      <c r="S46" s="217" cm="1">
        <f t="array" aca="1" ref="S46" ca="1">IF(ISBLANK(Q46),"",IF(R46&gt;0,R46*INDIRECT(ADDRESS(MATCH(G46,'Cost Conversion'!$B$3:$B$48,0)+2,4,1,1,"Cost conversion"))*INDIRECT(ADDRESS(MATCH(H46,'Cost Conversion'!$F$3:$F$22,0)+2,8,1,1,"Cost conversion"))/IF(F46="$",'Cost Conversion'!$L$2,1),0))</f>
        <v>10.075062343221806</v>
      </c>
      <c r="T46" s="947">
        <f ca="1">+S46</f>
        <v>10.075062343221806</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90"/>
      <c r="M47" s="888"/>
      <c r="N47" s="392"/>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90"/>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50" t="s">
        <v>358</v>
      </c>
      <c r="X48" s="1151"/>
      <c r="Y48" s="865" t="s">
        <v>816</v>
      </c>
      <c r="Z48" s="881"/>
      <c r="AA48" s="881"/>
      <c r="AB48" s="881"/>
      <c r="AC48" s="881"/>
      <c r="AD48" s="507"/>
      <c r="AE48" s="507"/>
      <c r="AF48" s="517"/>
      <c r="AG48" s="388" t="s">
        <v>686</v>
      </c>
      <c r="AH48" s="88" t="s">
        <v>359</v>
      </c>
      <c r="AI48" s="1211" t="s">
        <v>579</v>
      </c>
      <c r="AJ48" s="1211"/>
      <c r="AK48" s="1211"/>
      <c r="AL48" s="1211"/>
      <c r="AM48" s="1211"/>
      <c r="AN48" s="1212"/>
      <c r="AO48" s="113"/>
      <c r="AP48" s="105"/>
      <c r="AQ48" s="241"/>
      <c r="AR48" s="452"/>
    </row>
    <row r="49" spans="1:57" ht="16.2" customHeight="1" x14ac:dyDescent="0.3">
      <c r="A49" s="83"/>
      <c r="B49" s="104"/>
      <c r="C49" s="384"/>
      <c r="D49" s="888"/>
      <c r="E49" s="889"/>
      <c r="F49" s="254"/>
      <c r="G49" s="254"/>
      <c r="H49" s="254"/>
      <c r="I49" s="889"/>
      <c r="J49" s="889"/>
      <c r="K49" s="889"/>
      <c r="L49" s="890"/>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52" t="s">
        <v>817</v>
      </c>
      <c r="X49" s="1153"/>
      <c r="Y49" s="807">
        <v>40</v>
      </c>
      <c r="Z49" s="507"/>
      <c r="AA49" s="507"/>
      <c r="AB49" s="507"/>
      <c r="AC49" s="507"/>
      <c r="AD49" s="507"/>
      <c r="AE49" s="507"/>
      <c r="AF49" s="517"/>
      <c r="AH49" s="93"/>
      <c r="AI49" s="597"/>
      <c r="AJ49" s="330"/>
      <c r="AK49" s="330"/>
      <c r="AL49" s="330"/>
      <c r="AM49" s="330"/>
      <c r="AN49" s="125"/>
      <c r="AO49" s="113"/>
      <c r="AP49" s="105"/>
      <c r="AQ49" s="241"/>
      <c r="AR49" s="452"/>
    </row>
    <row r="50" spans="1:57" ht="16.2" customHeight="1" x14ac:dyDescent="0.3">
      <c r="A50" s="83"/>
      <c r="B50" s="104"/>
      <c r="C50" s="801" t="s">
        <v>255</v>
      </c>
      <c r="D50" s="801"/>
      <c r="E50" s="802"/>
      <c r="F50" s="802" t="str">
        <f>+F46</f>
        <v>€</v>
      </c>
      <c r="G50" s="802">
        <v>2001</v>
      </c>
      <c r="H50" s="802">
        <f>+H49</f>
        <v>0</v>
      </c>
      <c r="I50" s="889"/>
      <c r="J50" s="889"/>
      <c r="K50" s="889"/>
      <c r="L50" s="890"/>
      <c r="M50" s="888"/>
      <c r="N50" s="889"/>
      <c r="O50" s="889"/>
      <c r="P50" s="889"/>
      <c r="Q50" s="798">
        <v>1</v>
      </c>
      <c r="R50" s="799">
        <f>+S13</f>
        <v>4.3453649387747459</v>
      </c>
      <c r="S50" s="799" t="e" cm="1">
        <f t="array" aca="1" ref="S50" ca="1">IF(ISBLANK(Q50),"",IF(R50&gt;0,R50*INDIRECT(ADDRESS(MATCH(G50,'Cost Conversion'!$B$3:$B$48,0)+2,4,1,1,"Cost conversion"))*INDIRECT(ADDRESS(MATCH(H50,'Cost Conversion'!$F$3:$F$22,0)+2,8,1,1,"Cost conversion"))/IF(F50="$",'Cost Conversion'!$L$2,1),0))</f>
        <v>#N/A</v>
      </c>
      <c r="T50" s="106"/>
      <c r="U50" s="105"/>
      <c r="V50" s="120"/>
      <c r="W50" s="1146" t="s">
        <v>818</v>
      </c>
      <c r="X50" s="1106"/>
      <c r="Y50" s="807">
        <v>0.7</v>
      </c>
      <c r="Z50" s="507"/>
      <c r="AA50" s="507"/>
      <c r="AB50" s="507"/>
      <c r="AC50" s="507"/>
      <c r="AD50" s="507"/>
      <c r="AE50" s="507"/>
      <c r="AF50" s="517"/>
      <c r="AG50" s="617"/>
      <c r="AH50" s="626"/>
      <c r="AI50" s="617"/>
      <c r="AJ50" s="501"/>
      <c r="AK50" s="501"/>
      <c r="AL50" s="501"/>
      <c r="AM50" s="501"/>
      <c r="AN50" s="618"/>
      <c r="AO50" s="113"/>
      <c r="AP50" s="105"/>
      <c r="AQ50" s="241"/>
      <c r="AR50" s="452"/>
    </row>
    <row r="51" spans="1:57" ht="16.2" customHeight="1" x14ac:dyDescent="0.3">
      <c r="A51" s="83"/>
      <c r="B51" s="104"/>
      <c r="C51" s="801" t="s">
        <v>774</v>
      </c>
      <c r="D51" s="801"/>
      <c r="E51" s="802"/>
      <c r="F51" s="802" t="str">
        <f>+F50</f>
        <v>€</v>
      </c>
      <c r="G51" s="802">
        <v>2001</v>
      </c>
      <c r="H51" s="802">
        <f>+H50</f>
        <v>0</v>
      </c>
      <c r="I51" s="889"/>
      <c r="J51" s="889"/>
      <c r="K51" s="889"/>
      <c r="L51" s="890"/>
      <c r="M51" s="891"/>
      <c r="N51" s="892"/>
      <c r="O51" s="892"/>
      <c r="P51" s="892"/>
      <c r="Q51" s="800">
        <v>1</v>
      </c>
      <c r="R51" s="912">
        <f>+S14</f>
        <v>0.3374019532330364</v>
      </c>
      <c r="S51" s="799" t="e" cm="1">
        <f t="array" aca="1" ref="S51" ca="1">IF(ISBLANK(Q51),"",IF(R51&gt;0,R51*INDIRECT(ADDRESS(MATCH(G51,'Cost Conversion'!$B$3:$B$48,0)+2,4,1,1,"Cost conversion"))*INDIRECT(ADDRESS(MATCH(H51,'Cost Conversion'!$F$3:$F$22,0)+2,8,1,1,"Cost conversion"))/IF(F51="$",'Cost Conversion'!$L$2,1),0))</f>
        <v>#N/A</v>
      </c>
      <c r="T51" s="106"/>
      <c r="U51" s="105"/>
      <c r="V51" s="120"/>
      <c r="W51" s="1146" t="s">
        <v>819</v>
      </c>
      <c r="X51" s="1106"/>
      <c r="Y51" s="807">
        <v>1500</v>
      </c>
      <c r="Z51" s="507"/>
      <c r="AA51" s="507"/>
      <c r="AB51" s="507"/>
      <c r="AC51" s="507"/>
      <c r="AD51" s="507"/>
      <c r="AE51" s="507"/>
      <c r="AF51" s="517"/>
      <c r="AG51" s="617"/>
      <c r="AH51" s="626"/>
      <c r="AI51" s="617"/>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584</v>
      </c>
      <c r="N52" s="541" t="s">
        <v>463</v>
      </c>
      <c r="O52" s="899" t="s">
        <v>315</v>
      </c>
      <c r="P52" s="1155" t="s">
        <v>476</v>
      </c>
      <c r="Q52" s="1156"/>
      <c r="R52" s="589" t="s">
        <v>639</v>
      </c>
      <c r="S52" s="833" t="s">
        <v>638</v>
      </c>
      <c r="T52" s="106"/>
      <c r="U52" s="105"/>
      <c r="V52" s="120"/>
      <c r="W52" s="1147" t="s">
        <v>820</v>
      </c>
      <c r="X52" s="1148"/>
      <c r="Y52" s="674">
        <v>5000</v>
      </c>
      <c r="Z52" s="507"/>
      <c r="AA52" s="507"/>
      <c r="AB52" s="507"/>
      <c r="AC52" s="507"/>
      <c r="AD52" s="507"/>
      <c r="AE52" s="507"/>
      <c r="AF52" s="517"/>
      <c r="AG52" s="617"/>
      <c r="AH52" s="626"/>
      <c r="AI52" s="617"/>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488</v>
      </c>
      <c r="N53" s="531" t="s">
        <v>486</v>
      </c>
      <c r="O53" s="901">
        <v>2001</v>
      </c>
      <c r="P53" s="1077" t="s">
        <v>477</v>
      </c>
      <c r="Q53" s="1079"/>
      <c r="R53" s="551">
        <f>+IF(SUM(S13:S43)&gt;0,IF(G3="Equipment",SUM(S13:S43),"NaN"),"")</f>
        <v>8.9965891198092862</v>
      </c>
      <c r="S53" s="552" cm="1">
        <f t="array" aca="1" ref="S53" ca="1">+IF(R53="",0,R53*INDIRECT(ADDRESS(MATCH(O53,'Cost Conversion'!$B$3:$B$48,0)+2,4,1,1,"Cost conversion"))*INDIRECT(ADDRESS(MATCH(P53,'Cost Conversion'!$F$3:$F$22,0)+2,8,1,1,"Cost conversion"))/IF(N53="$",'Cost Conversion'!$L$2,1))</f>
        <v>14.349365704915192</v>
      </c>
      <c r="T53" s="106"/>
      <c r="U53" s="105"/>
      <c r="V53" s="120"/>
      <c r="Z53" s="507"/>
      <c r="AA53" s="507"/>
      <c r="AB53" s="507"/>
      <c r="AC53" s="507"/>
      <c r="AD53" s="507"/>
      <c r="AE53" s="507"/>
      <c r="AF53" s="517"/>
      <c r="AG53" s="617"/>
      <c r="AH53" s="626"/>
      <c r="AI53" s="617"/>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640</v>
      </c>
      <c r="N54" s="140"/>
      <c r="O54" s="146"/>
      <c r="P54" s="1077"/>
      <c r="Q54" s="1079"/>
      <c r="R54" s="551" t="s">
        <v>354</v>
      </c>
      <c r="S54" s="552">
        <f ca="1">+IF(SUM(S46)&gt;=0,SUM(S46),"")</f>
        <v>10.075062343221806</v>
      </c>
      <c r="T54" s="106"/>
      <c r="U54" s="105"/>
      <c r="V54" s="120"/>
      <c r="Z54" s="507"/>
      <c r="AA54" s="507"/>
      <c r="AB54" s="507"/>
      <c r="AC54" s="507"/>
      <c r="AD54" s="507"/>
      <c r="AE54" s="507"/>
      <c r="AF54" s="517"/>
      <c r="AG54" s="619"/>
      <c r="AH54" s="627"/>
      <c r="AI54" s="619"/>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102" t="str">
        <f>+"BEC Distribution: "&amp;E6</f>
        <v>BEC Distribution: H₂ Production</v>
      </c>
      <c r="C57" s="1103"/>
      <c r="D57" s="1103"/>
      <c r="E57" s="1103"/>
      <c r="F57" s="1103"/>
      <c r="G57" s="1104"/>
      <c r="H57" s="1102" t="str">
        <f>+"Estimate Benchmark: "&amp;D46</f>
        <v>Estimate Benchmark: PSA Unit</v>
      </c>
      <c r="I57" s="1103"/>
      <c r="J57" s="1103"/>
      <c r="K57" s="1103"/>
      <c r="L57" s="1103"/>
      <c r="M57" s="1103"/>
      <c r="N57" s="1104"/>
      <c r="O57" s="195"/>
      <c r="P57" s="195"/>
      <c r="Q57" s="174"/>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969"/>
      <c r="P58" s="970"/>
      <c r="Q58" s="970"/>
      <c r="R58" s="435"/>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971"/>
      <c r="P59" s="970"/>
      <c r="Q59" s="970"/>
      <c r="R59" s="435"/>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971"/>
      <c r="P60" s="970"/>
      <c r="Q60" s="970"/>
      <c r="R60" s="435"/>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972"/>
      <c r="P61" s="970"/>
      <c r="Q61" s="970"/>
      <c r="R61" s="435"/>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972"/>
      <c r="P62" s="970"/>
      <c r="Q62" s="970"/>
      <c r="R62" s="435"/>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971"/>
      <c r="P63" s="970"/>
      <c r="Q63" s="970"/>
      <c r="R63" s="435"/>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971"/>
      <c r="P64" s="970"/>
      <c r="Q64" s="970"/>
      <c r="R64" s="435"/>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972"/>
      <c r="P65" s="970"/>
      <c r="Q65" s="970"/>
      <c r="R65" s="435"/>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971"/>
      <c r="P66" s="970"/>
      <c r="Q66" s="970"/>
      <c r="R66" s="435"/>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972"/>
      <c r="P67" s="970"/>
      <c r="Q67" s="970"/>
      <c r="R67" s="435"/>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435"/>
      <c r="P68" s="970"/>
      <c r="Q68" s="970"/>
      <c r="R68" s="435"/>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970"/>
      <c r="P69" s="970"/>
      <c r="Q69" s="970"/>
      <c r="R69" s="970"/>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970"/>
      <c r="P70" s="970"/>
      <c r="Q70" s="970"/>
      <c r="R70" s="970"/>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970"/>
      <c r="P71" s="973"/>
      <c r="Q71" s="970"/>
      <c r="R71" s="974"/>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435"/>
      <c r="P72" s="435"/>
      <c r="Q72" s="435"/>
      <c r="R72" s="435"/>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975"/>
      <c r="P73" s="975"/>
      <c r="Q73" s="975"/>
      <c r="R73" s="975"/>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975"/>
      <c r="P74" s="975"/>
      <c r="Q74" s="975"/>
      <c r="R74" s="975"/>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970"/>
      <c r="P75" s="970"/>
      <c r="Q75" s="970"/>
      <c r="R75" s="970"/>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976"/>
      <c r="P76" s="976"/>
      <c r="Q76" s="974"/>
      <c r="R76" s="970"/>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975"/>
      <c r="P77" s="975"/>
      <c r="Q77" s="975"/>
      <c r="R77" s="975"/>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975"/>
      <c r="P78" s="975"/>
      <c r="Q78" s="975"/>
      <c r="R78" s="975"/>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975"/>
      <c r="P79" s="975"/>
      <c r="Q79" s="975"/>
      <c r="R79" s="975"/>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128" t="s">
        <v>686</v>
      </c>
      <c r="I80" s="129" t="s">
        <v>359</v>
      </c>
      <c r="J80" s="1181" t="s">
        <v>579</v>
      </c>
      <c r="K80" s="1182"/>
      <c r="L80" s="1182"/>
      <c r="M80" s="1182"/>
      <c r="N80" s="1183"/>
      <c r="O80" s="975"/>
      <c r="P80" s="975"/>
      <c r="Q80" s="975"/>
      <c r="R80" s="975"/>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4" t="s">
        <v>1019</v>
      </c>
      <c r="C81" s="1135"/>
      <c r="D81" s="1135"/>
      <c r="E81" s="1135"/>
      <c r="F81" s="1135"/>
      <c r="G81" s="1136"/>
      <c r="H81" s="86">
        <v>6</v>
      </c>
      <c r="I81" s="86" t="s">
        <v>1040</v>
      </c>
      <c r="J81" s="1177" t="s">
        <v>1041</v>
      </c>
      <c r="K81" s="1210"/>
      <c r="L81" s="1210"/>
      <c r="M81" s="1210"/>
      <c r="N81" s="1210"/>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7"/>
      <c r="C82" s="1138"/>
      <c r="D82" s="1138"/>
      <c r="E82" s="1138"/>
      <c r="F82" s="1138"/>
      <c r="G82" s="1139"/>
      <c r="H82" s="866">
        <v>7</v>
      </c>
      <c r="I82" s="917" t="s">
        <v>876</v>
      </c>
      <c r="J82" s="1207" t="s">
        <v>981</v>
      </c>
      <c r="K82" s="1208"/>
      <c r="L82" s="1208"/>
      <c r="M82" s="1208"/>
      <c r="N82" s="1209"/>
      <c r="O82" s="501"/>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7">
    <mergeCell ref="C3:F3"/>
    <mergeCell ref="G3:H3"/>
    <mergeCell ref="J3:M3"/>
    <mergeCell ref="O3:S3"/>
    <mergeCell ref="W3:AN3"/>
    <mergeCell ref="AI48:AN48"/>
    <mergeCell ref="P52:Q52"/>
    <mergeCell ref="P53:Q53"/>
    <mergeCell ref="W48:X48"/>
    <mergeCell ref="D5:E5"/>
    <mergeCell ref="G5:H5"/>
    <mergeCell ref="J5:K9"/>
    <mergeCell ref="O5:S5"/>
    <mergeCell ref="D8:D9"/>
    <mergeCell ref="E8:E9"/>
    <mergeCell ref="W36:AF36"/>
    <mergeCell ref="W40:Y40"/>
    <mergeCell ref="AB40:AC40"/>
    <mergeCell ref="Z40:AA40"/>
    <mergeCell ref="W34:AN34"/>
    <mergeCell ref="W49:X49"/>
    <mergeCell ref="W50:X50"/>
    <mergeCell ref="W51:X51"/>
    <mergeCell ref="W52:X52"/>
    <mergeCell ref="D11:L11"/>
    <mergeCell ref="M11:R11"/>
    <mergeCell ref="J82:N82"/>
    <mergeCell ref="O6:S9"/>
    <mergeCell ref="J80:N80"/>
    <mergeCell ref="J81:N81"/>
    <mergeCell ref="D44:R44"/>
    <mergeCell ref="B81:G82"/>
    <mergeCell ref="P54:Q54"/>
    <mergeCell ref="B57:G57"/>
    <mergeCell ref="H57:N57"/>
    <mergeCell ref="C6:C7"/>
    <mergeCell ref="C8:C9"/>
  </mergeCells>
  <dataValidations count="10">
    <dataValidation type="list" allowBlank="1" showInputMessage="1" showErrorMessage="1" sqref="D22:D43 D13:D20" xr:uid="{6D756A8C-7BCC-483F-8230-7C3B895A2B46}">
      <formula1>Equipment</formula1>
    </dataValidation>
    <dataValidation type="list" allowBlank="1" showInputMessage="1" showErrorMessage="1" sqref="E22:E43 E13:E20" xr:uid="{35D403C0-6B2C-4C3A-B952-00101623A34B}">
      <formula1>INDIRECT(SUBSTITUTE($D13," ",""))</formula1>
    </dataValidation>
    <dataValidation type="list" allowBlank="1" showInputMessage="1" showErrorMessage="1" sqref="E8:E9" xr:uid="{0A212FDD-40D1-4D81-816D-3FE9EF537A25}">
      <formula1>Case</formula1>
    </dataValidation>
    <dataValidation type="list" allowBlank="1" showInputMessage="1" showErrorMessage="1" sqref="E21" xr:uid="{6249018A-D1F8-47D3-8195-A94A3BA60CB3}">
      <formula1>INDIRECT(SUBSTITUTE($D22," ",""))</formula1>
    </dataValidation>
    <dataValidation type="list" allowBlank="1" showInputMessage="1" showErrorMessage="1" sqref="I13:I43" xr:uid="{EE22DB3E-2E2C-442A-A923-465EE72290C5}">
      <formula1>INDIRECT(IF($D13="Heat Exchanger",SUBSTITUTE($D13," ","")&amp;"_"&amp;SUBSTITUTE(SUBSTITUTE($E13,",","")," ","")&amp;"_Material",SUBSTITUTE($D13," ","")&amp;"_Material"))</formula1>
    </dataValidation>
    <dataValidation type="list" allowBlank="1" showInputMessage="1" showErrorMessage="1" sqref="H46:H52" xr:uid="{40ABA6B5-F89B-447F-B485-21391AC1A5F4}">
      <formula1>Location</formula1>
    </dataValidation>
    <dataValidation type="list" allowBlank="1" showInputMessage="1" showErrorMessage="1" sqref="G46:G52" xr:uid="{C756DF92-89F9-40B3-B8ED-123F8640A4D0}">
      <formula1>Year</formula1>
    </dataValidation>
    <dataValidation type="list" allowBlank="1" showInputMessage="1" showErrorMessage="1" sqref="F46:F52" xr:uid="{1A983A40-1179-4F8B-958D-38AEF123BA08}">
      <formula1>Currency</formula1>
    </dataValidation>
    <dataValidation type="list" allowBlank="1" showInputMessage="1" showErrorMessage="1" sqref="B55" xr:uid="{E1887ADF-E560-46FB-939F-103670A62018}">
      <formula1>Construction</formula1>
    </dataValidation>
    <dataValidation type="list" allowBlank="1" showInputMessage="1" showErrorMessage="1" sqref="B54" xr:uid="{DB04DBB0-B182-431B-8FF4-0842348094F2}">
      <formula1>Lifetime</formula1>
    </dataValidation>
  </dataValidations>
  <hyperlinks>
    <hyperlink ref="J82" r:id="rId1" xr:uid="{219C99D3-B04B-48AA-AA2C-FD85582A22AD}"/>
    <hyperlink ref="J81" r:id="rId2" xr:uid="{E1C4747D-EBDB-4CE5-8F61-55A040068161}"/>
  </hyperlinks>
  <pageMargins left="0.7" right="0.7" top="0.75" bottom="0.75" header="0.3" footer="0.3"/>
  <pageSetup paperSize="9" orientation="portrait" verticalDpi="1200" r:id="rId3"/>
  <ignoredErrors>
    <ignoredError sqref="R50:S51 T21:T43" evalError="1"/>
    <ignoredError sqref="J14 M14 P14" formula="1"/>
  </ignoredErrors>
  <drawing r:id="rId4"/>
  <legacyDrawing r:id="rId5"/>
  <oleObjects>
    <mc:AlternateContent xmlns:mc="http://schemas.openxmlformats.org/markup-compatibility/2006">
      <mc:Choice Requires="x14">
        <oleObject progId="Visio.Drawing.15" shapeId="282629" r:id="rId6">
          <objectPr defaultSize="0" autoPict="0" r:id="rId7">
            <anchor moveWithCells="1">
              <from>
                <xdr:col>30</xdr:col>
                <xdr:colOff>822960</xdr:colOff>
                <xdr:row>5</xdr:row>
                <xdr:rowOff>60960</xdr:rowOff>
              </from>
              <to>
                <xdr:col>38</xdr:col>
                <xdr:colOff>784860</xdr:colOff>
                <xdr:row>28</xdr:row>
                <xdr:rowOff>137160</xdr:rowOff>
              </to>
            </anchor>
          </objectPr>
        </oleObject>
      </mc:Choice>
      <mc:Fallback>
        <oleObject progId="Visio.Drawing.15" shapeId="282629" r:id="rId6"/>
      </mc:Fallback>
    </mc:AlternateContent>
  </oleObjects>
  <mc:AlternateContent xmlns:mc="http://schemas.openxmlformats.org/markup-compatibility/2006">
    <mc:Choice Requires="x14">
      <controls>
        <mc:AlternateContent xmlns:mc="http://schemas.openxmlformats.org/markup-compatibility/2006">
          <mc:Choice Requires="x14">
            <control shapeId="282625" r:id="rId8"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9"/>
    <tablePart r:id="rId10"/>
    <tablePart r:id="rId1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8FA04-E7E6-4CF9-AA11-B1B2FB24274E}">
  <sheetPr codeName="Hoja37"/>
  <dimension ref="A1:BE101"/>
  <sheetViews>
    <sheetView showGridLines="0" zoomScale="40" zoomScaleNormal="40" workbookViewId="0">
      <selection activeCell="S55" sqref="S55"/>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102" t="s">
        <v>270</v>
      </c>
      <c r="D3" s="1103"/>
      <c r="E3" s="1103"/>
      <c r="F3" s="1103"/>
      <c r="G3" s="1102" t="s">
        <v>229</v>
      </c>
      <c r="H3" s="1104"/>
      <c r="I3" s="92"/>
      <c r="J3" s="1102" t="s">
        <v>667</v>
      </c>
      <c r="K3" s="1103"/>
      <c r="L3" s="1103"/>
      <c r="M3" s="1104"/>
      <c r="N3" s="210"/>
      <c r="O3" s="1102" t="str">
        <f>+E6</f>
        <v>CO₂ CPU</v>
      </c>
      <c r="P3" s="1103"/>
      <c r="Q3" s="1103"/>
      <c r="R3" s="1103"/>
      <c r="S3" s="1104"/>
      <c r="T3" s="106"/>
      <c r="U3" s="106"/>
      <c r="V3" s="112"/>
      <c r="W3" s="1168" t="str">
        <f>+E6&amp;" Diagram"</f>
        <v>CO₂ CPU Diagram</v>
      </c>
      <c r="X3" s="1169"/>
      <c r="Y3" s="1169"/>
      <c r="Z3" s="1169"/>
      <c r="AA3" s="1169"/>
      <c r="AB3" s="1169"/>
      <c r="AC3" s="1169"/>
      <c r="AD3" s="1169"/>
      <c r="AE3" s="1169"/>
      <c r="AF3" s="1169"/>
      <c r="AG3" s="1169"/>
      <c r="AH3" s="1169"/>
      <c r="AI3" s="1169"/>
      <c r="AJ3" s="1169"/>
      <c r="AK3" s="1169"/>
      <c r="AL3" s="1169"/>
      <c r="AM3" s="1169"/>
      <c r="AN3" s="1170"/>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16" t="s">
        <v>265</v>
      </c>
      <c r="E5" s="1117"/>
      <c r="F5" s="105"/>
      <c r="G5" s="1116" t="s">
        <v>267</v>
      </c>
      <c r="H5" s="1117"/>
      <c r="I5" s="92"/>
      <c r="J5" s="1162"/>
      <c r="K5" s="1163"/>
      <c r="L5" s="214" t="s">
        <v>469</v>
      </c>
      <c r="M5" s="500" t="s">
        <v>503</v>
      </c>
      <c r="N5" s="501"/>
      <c r="O5" s="1039" t="s">
        <v>579</v>
      </c>
      <c r="P5" s="1040"/>
      <c r="Q5" s="1040"/>
      <c r="R5" s="1040"/>
      <c r="S5" s="104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40" t="s">
        <v>495</v>
      </c>
      <c r="D6" s="277" t="s">
        <v>677</v>
      </c>
      <c r="E6" s="548" t="str">
        <f>+'Plant Overview'!V42</f>
        <v>CO₂ CPU</v>
      </c>
      <c r="F6" s="105"/>
      <c r="G6" s="85"/>
      <c r="H6" s="395" t="s">
        <v>262</v>
      </c>
      <c r="I6" s="92"/>
      <c r="J6" s="1164"/>
      <c r="K6" s="1165"/>
      <c r="L6" s="189" t="s">
        <v>470</v>
      </c>
      <c r="M6" s="86" t="s">
        <v>504</v>
      </c>
      <c r="N6" s="501"/>
      <c r="O6" s="1107" t="str">
        <f>+'Plant Overview'!X42</f>
        <v>CO2 Cryogenic Purification Unit</v>
      </c>
      <c r="P6" s="1108"/>
      <c r="Q6" s="1108"/>
      <c r="R6" s="1108"/>
      <c r="S6" s="110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41"/>
      <c r="D7" s="277" t="s">
        <v>676</v>
      </c>
      <c r="E7" s="548" t="str">
        <f>+'Plant Overview'!W42</f>
        <v>U-600</v>
      </c>
      <c r="F7" s="105"/>
      <c r="G7" s="96"/>
      <c r="H7" s="395" t="s">
        <v>263</v>
      </c>
      <c r="I7" s="92"/>
      <c r="J7" s="1164"/>
      <c r="K7" s="1165"/>
      <c r="L7" s="214" t="s">
        <v>464</v>
      </c>
      <c r="M7" s="500" t="s">
        <v>502</v>
      </c>
      <c r="N7" s="501"/>
      <c r="O7" s="1110"/>
      <c r="P7" s="1111"/>
      <c r="Q7" s="1111"/>
      <c r="R7" s="1111"/>
      <c r="S7" s="1112"/>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119"/>
      <c r="D8" s="1157" t="s">
        <v>312</v>
      </c>
      <c r="E8" s="1159" t="s">
        <v>434</v>
      </c>
      <c r="F8" s="105"/>
      <c r="G8" s="95"/>
      <c r="H8" s="893" t="s">
        <v>264</v>
      </c>
      <c r="I8" s="92"/>
      <c r="J8" s="1164"/>
      <c r="K8" s="1165"/>
      <c r="L8" s="214" t="s">
        <v>465</v>
      </c>
      <c r="M8" s="500" t="s">
        <v>500</v>
      </c>
      <c r="N8" s="501"/>
      <c r="O8" s="1110"/>
      <c r="P8" s="1111"/>
      <c r="Q8" s="1111"/>
      <c r="R8" s="1111"/>
      <c r="S8" s="1112"/>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120"/>
      <c r="D9" s="1158"/>
      <c r="E9" s="1160"/>
      <c r="F9" s="105"/>
      <c r="G9" s="110"/>
      <c r="H9" s="895" t="s">
        <v>268</v>
      </c>
      <c r="I9" s="92"/>
      <c r="J9" s="1166"/>
      <c r="K9" s="1167"/>
      <c r="L9" s="214" t="s">
        <v>466</v>
      </c>
      <c r="M9" s="500" t="s">
        <v>501</v>
      </c>
      <c r="N9" s="501"/>
      <c r="O9" s="1113"/>
      <c r="P9" s="1114"/>
      <c r="Q9" s="1114"/>
      <c r="R9" s="1114"/>
      <c r="S9" s="1115"/>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102" t="s">
        <v>571</v>
      </c>
      <c r="E11" s="1103"/>
      <c r="F11" s="1103"/>
      <c r="G11" s="1103"/>
      <c r="H11" s="1103"/>
      <c r="I11" s="1103"/>
      <c r="J11" s="1103"/>
      <c r="K11" s="1103"/>
      <c r="L11" s="1104"/>
      <c r="M11" s="1102" t="s">
        <v>580</v>
      </c>
      <c r="N11" s="1103"/>
      <c r="O11" s="1103"/>
      <c r="P11" s="1103"/>
      <c r="Q11" s="1103"/>
      <c r="R11" s="1104"/>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965</v>
      </c>
      <c r="D13" s="267" t="s">
        <v>252</v>
      </c>
      <c r="E13" s="267" t="s">
        <v>117</v>
      </c>
      <c r="F13" s="392">
        <f>+X39*1000/3600/AD39</f>
        <v>187.68099100920222</v>
      </c>
      <c r="G13" s="889">
        <v>30</v>
      </c>
      <c r="H13" s="889" t="s">
        <v>352</v>
      </c>
      <c r="I13" s="889" t="s">
        <v>560</v>
      </c>
      <c r="J13" s="889" t="str">
        <f>+IF(F13&gt;'Equipment Data'!$L$126,"yes","No")</f>
        <v>No</v>
      </c>
      <c r="K13" s="889">
        <v>0.67</v>
      </c>
      <c r="L13" s="889" t="s">
        <v>529</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30225.724323518625</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1.1192978146648862</v>
      </c>
      <c r="O13" s="889">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6.7024338364983311</v>
      </c>
      <c r="Q13" s="169">
        <f t="shared" ref="Q13:Q14" si="0">+M13*P13</f>
        <v>202585.91743862187</v>
      </c>
      <c r="R13" s="502">
        <v>1</v>
      </c>
      <c r="S13" s="223">
        <f>+IF(Tabla2587901201356288919497[[#This Row],[Equipment]]="","",Q13*R13/10^6)</f>
        <v>0.20258591743862187</v>
      </c>
      <c r="T13" s="950">
        <f ca="1">+$S$53/$R$53*S13</f>
        <v>0.32312017113149705</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966</v>
      </c>
      <c r="D14" s="267" t="s">
        <v>252</v>
      </c>
      <c r="E14" s="267" t="s">
        <v>117</v>
      </c>
      <c r="F14" s="392">
        <f>+X40*1000/3600/AD40</f>
        <v>4.0263768057490781</v>
      </c>
      <c r="G14" s="889">
        <v>30</v>
      </c>
      <c r="H14" s="889" t="s">
        <v>352</v>
      </c>
      <c r="I14" s="889" t="s">
        <v>560</v>
      </c>
      <c r="J14" s="889" t="str">
        <f>+IF(F14&gt;'Equipment Data'!$L$126,"yes","No")</f>
        <v>No</v>
      </c>
      <c r="K14" s="889">
        <v>0.67</v>
      </c>
      <c r="L14" s="889" t="s">
        <v>529</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15892.876076806195</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1.1192978146648862</v>
      </c>
      <c r="O14" s="889">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6.7024338364983311</v>
      </c>
      <c r="Q14" s="169">
        <f t="shared" si="0"/>
        <v>106520.95037646069</v>
      </c>
      <c r="R14" s="503">
        <v>1</v>
      </c>
      <c r="S14" s="217">
        <f>+IF(Tabla2587901201356288919497[[#This Row],[Equipment]]="","",Q14*R14/10^6)</f>
        <v>0.1065209503764607</v>
      </c>
      <c r="T14" s="950">
        <f t="shared" ref="T14:T44" ca="1" si="1">+$S$53/$R$53*S14</f>
        <v>0.16989861955809316</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967</v>
      </c>
      <c r="D15" s="267" t="s">
        <v>260</v>
      </c>
      <c r="E15" s="267" t="s">
        <v>201</v>
      </c>
      <c r="F15" s="168">
        <f>+AD45+AE45</f>
        <v>3.937285332525343</v>
      </c>
      <c r="G15" s="889">
        <f>+AF45</f>
        <v>31</v>
      </c>
      <c r="H15" s="889" t="s">
        <v>471</v>
      </c>
      <c r="I15" s="889" t="s">
        <v>87</v>
      </c>
      <c r="J15" s="889" t="str">
        <f>+IF(F15&gt;'Equipment Data'!$F$239,"yes","No")</f>
        <v>No</v>
      </c>
      <c r="K15" s="889">
        <v>0.67</v>
      </c>
      <c r="L15" s="168">
        <f>+AB45</f>
        <v>0.21985706708822891</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6344.4394578276633</v>
      </c>
      <c r="N15" s="171">
        <f>+IF(L15="","Input Diameter in m",IF(G15&gt;0.5,IF(((G15*L15)/(2*(850-0.6*G15))+0.00315)/0.0063&lt;1,1,((G15*L15)/(2*(850-0.6*G15))+0.00315)/0.0063),1.25))</f>
        <v>1.1506112351832534</v>
      </c>
      <c r="O15" s="889">
        <f>+IF(I15="CS",'Equipment Data'!$C$247,IF(I15="SS Clad",'Equipment Data'!$C$248,IF(I15="SS",'Equipment Data'!$C$249,IF(I15="Ni Clad",'Equipment Data'!$C$250,IF(I15="Ni",'Equipment Data'!$C$251,IF(I15="Ti Clad",'Equipment Data'!$C$252,IF(I15="Ti",'Equipment Data'!$C$253,"N/A")))))))</f>
        <v>3.11</v>
      </c>
      <c r="P15" s="169">
        <f>+'Equipment Data'!$C$244+'Equipment Data'!$D$244*N15*O15</f>
        <v>8.7626897133842512</v>
      </c>
      <c r="Q15" s="169">
        <f>+M15*P15</f>
        <v>55594.354374295624</v>
      </c>
      <c r="R15" s="503">
        <v>1</v>
      </c>
      <c r="S15" s="217">
        <f>+IF(Tabla2587901201356288919497[[#This Row],[Equipment]]="","",Q15*R15/10^6)</f>
        <v>5.5594354374295628E-2</v>
      </c>
      <c r="T15" s="950">
        <f t="shared" ca="1" si="1"/>
        <v>8.8671796768943753E-2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968</v>
      </c>
      <c r="D16" s="267" t="s">
        <v>260</v>
      </c>
      <c r="E16" s="267" t="s">
        <v>201</v>
      </c>
      <c r="F16" s="168">
        <f>+AD46+AE46</f>
        <v>7.2123548662970577E-2</v>
      </c>
      <c r="G16" s="889">
        <f>+AF46</f>
        <v>30</v>
      </c>
      <c r="H16" s="889" t="s">
        <v>471</v>
      </c>
      <c r="I16" s="889" t="s">
        <v>87</v>
      </c>
      <c r="J16" s="889" t="str">
        <f>+IF(F16&gt;'Equipment Data'!$F$239,"yes","No")</f>
        <v>No</v>
      </c>
      <c r="K16" s="889">
        <v>0.67</v>
      </c>
      <c r="L16" s="168">
        <f>+AB46</f>
        <v>0.17585059585430371</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1334.4302494658791</v>
      </c>
      <c r="N16" s="171">
        <f>+IF(L16="","Input Diameter in m",IF(G16&gt;0.5,IF(((G16*L16)/(2*(850-0.6*G16))+0.00315)/0.0063&lt;1,1,((G16*L16)/(2*(850-0.6*G16))+0.00315)/0.0063),1.25))</f>
        <v>1.0032354505903838</v>
      </c>
      <c r="O16" s="889">
        <f>+IF(I16="CS",'Equipment Data'!$C$247,IF(I16="SS Clad",'Equipment Data'!$C$248,IF(I16="SS",'Equipment Data'!$C$249,IF(I16="Ni Clad",'Equipment Data'!$C$250,IF(I16="Ni",'Equipment Data'!$C$251,IF(I16="Ti Clad",'Equipment Data'!$C$252,IF(I16="Ti",'Equipment Data'!$C$253,"N/A")))))))</f>
        <v>3.11</v>
      </c>
      <c r="P16" s="169">
        <f>+'Equipment Data'!$C$244+'Equipment Data'!$D$244*N16*O16</f>
        <v>7.9285132974316905</v>
      </c>
      <c r="Q16" s="169">
        <f>+M16*P16</f>
        <v>10580.047977385311</v>
      </c>
      <c r="R16" s="503">
        <v>1</v>
      </c>
      <c r="S16" s="217">
        <f>+IF(Tabla2587901201356288919497[[#This Row],[Equipment]]="","",Q16*R16/10^6)</f>
        <v>1.0580047977385312E-2</v>
      </c>
      <c r="T16" s="950">
        <f t="shared" ca="1" si="1"/>
        <v>1.6874948447825572E-2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969</v>
      </c>
      <c r="D17" s="267" t="s">
        <v>261</v>
      </c>
      <c r="E17" s="267" t="s">
        <v>23</v>
      </c>
      <c r="F17" s="392">
        <v>11.0148024288192</v>
      </c>
      <c r="G17" s="889" t="s">
        <v>354</v>
      </c>
      <c r="H17" s="889" t="s">
        <v>473</v>
      </c>
      <c r="I17" s="889" t="s">
        <v>87</v>
      </c>
      <c r="J17" s="889" t="str">
        <f>+IF(F17&gt;'Equipment Data'!$J$19,"yes","No")</f>
        <v>No</v>
      </c>
      <c r="K17" s="889">
        <v>0.67</v>
      </c>
      <c r="L17" s="889" t="s">
        <v>354</v>
      </c>
      <c r="M17" s="172">
        <f>+IF(AND(D17="Compressor",E17="Centrifugal"),IF(F17&lt;'Equipment Data'!$J$19,10^('Equipment Data'!$C$19+'Equipment Data'!$D$19*LOG10(F17)+'Equipment Data'!$E$19*LOG10(F17)*LOG10(F17)),10^('Equipment Data'!$C$19+'Equipment Data'!$D$19*LOG10('Equipment Data'!$J$19)+'Equipment Data'!$E$19*LOG10('Equipment Data'!$J$19)*LOG10('Equipment Data'!$J$19))*(F17/'Equipment Data'!$J$19)^K17),"N/A")</f>
        <v>3936.4264384842168</v>
      </c>
      <c r="N17" s="889" t="s">
        <v>354</v>
      </c>
      <c r="O17" s="392" t="s">
        <v>354</v>
      </c>
      <c r="P17" s="168">
        <f>+IF(I17="CS",'Equipment Data'!$F$19,IF(I17="SS",'Equipment Data'!$G$19,IF(I17="Ni",'Equipment Data'!$H$19,"N/A")))</f>
        <v>5.75</v>
      </c>
      <c r="Q17" s="169">
        <f t="shared" ref="Q17:Q21" si="2">+M17*P17</f>
        <v>22634.452021284247</v>
      </c>
      <c r="R17" s="503">
        <v>1</v>
      </c>
      <c r="S17" s="217">
        <f>+IF(Tabla2587901201356288919497[[#This Row],[Equipment]]="","",Q17*R17/10^6)</f>
        <v>2.2634452021284248E-2</v>
      </c>
      <c r="T17" s="950">
        <f t="shared" ca="1" si="1"/>
        <v>3.6101463038766581E-2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970</v>
      </c>
      <c r="D18" s="267" t="s">
        <v>261</v>
      </c>
      <c r="E18" s="267" t="s">
        <v>23</v>
      </c>
      <c r="F18" s="392">
        <v>590.38945207965298</v>
      </c>
      <c r="G18" s="889" t="s">
        <v>354</v>
      </c>
      <c r="H18" s="889" t="s">
        <v>473</v>
      </c>
      <c r="I18" s="889" t="s">
        <v>87</v>
      </c>
      <c r="J18" s="889" t="str">
        <f>+IF(F18&gt;'Equipment Data'!$J$19,"yes","No")</f>
        <v>No</v>
      </c>
      <c r="K18" s="889">
        <v>0.67</v>
      </c>
      <c r="L18" s="889" t="s">
        <v>354</v>
      </c>
      <c r="M18" s="172">
        <f>+IF(AND(D18="Compressor",E18="Centrifugal"),IF(F18&lt;'Equipment Data'!$J$19,10^('Equipment Data'!$C$19+'Equipment Data'!$D$19*LOG10(F18)+'Equipment Data'!$E$19*LOG10(F18)*LOG10(F18)),10^('Equipment Data'!$C$19+'Equipment Data'!$D$19*LOG10('Equipment Data'!$J$19)+'Equipment Data'!$E$19*LOG10('Equipment Data'!$J$19)*LOG10('Equipment Data'!$J$19))*(F18/'Equipment Data'!$J$19)^K18),"N/A")</f>
        <v>186338.31527484735</v>
      </c>
      <c r="N18" s="889" t="s">
        <v>354</v>
      </c>
      <c r="O18" s="392" t="s">
        <v>354</v>
      </c>
      <c r="P18" s="168">
        <f>+IF(I18="CS",'Equipment Data'!$F$19,IF(I18="SS",'Equipment Data'!$G$19,IF(I18="Ni",'Equipment Data'!$H$19,"N/A")))</f>
        <v>5.75</v>
      </c>
      <c r="Q18" s="169">
        <f t="shared" si="2"/>
        <v>1071445.3128303722</v>
      </c>
      <c r="R18" s="503">
        <v>1</v>
      </c>
      <c r="S18" s="217">
        <f>+IF(Tabla2587901201356288919497[[#This Row],[Equipment]]="","",Q18*R18/10^6)</f>
        <v>1.0714453128303723</v>
      </c>
      <c r="T18" s="950">
        <f t="shared" ca="1" si="1"/>
        <v>1.7089321766143066</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951" t="s">
        <v>1045</v>
      </c>
      <c r="D19" s="267" t="s">
        <v>518</v>
      </c>
      <c r="E19" s="267" t="s">
        <v>36</v>
      </c>
      <c r="F19" s="392">
        <f>+F17+F18</f>
        <v>601.40425450847215</v>
      </c>
      <c r="G19" s="889" t="s">
        <v>354</v>
      </c>
      <c r="H19" s="889" t="s">
        <v>473</v>
      </c>
      <c r="I19" s="889" t="s">
        <v>569</v>
      </c>
      <c r="J19" s="889" t="str">
        <f>+IF(F19&gt;'Equipment Data'!$H$40,"yes","No")</f>
        <v>No</v>
      </c>
      <c r="K19" s="889">
        <v>0.67</v>
      </c>
      <c r="L19" s="889" t="s">
        <v>354</v>
      </c>
      <c r="M19" s="172">
        <f>+IF(AND(D19="Drive",E19="Explosion Proof"),IF(F19&lt;'Equipment Data'!$H$40,10^('Equipment Data'!$C$40+'Equipment Data'!$D$40*LOG10(F19)+'Equipment Data'!$E$40*LOG10(F19)*LOG10(F19)),10^('Equipment Data'!$C$40+LOG10('Equipment Data'!$H$40)*'Equipment Data'!$D$40+'Equipment Data'!$E$40*LOG10('Equipment Data'!$H$40)*LOG10('Equipment Data'!$H$40))*(F19/'Equipment Data'!$H$40)^K19),"N/A")</f>
        <v>103653.02321636991</v>
      </c>
      <c r="N19" s="889" t="s">
        <v>354</v>
      </c>
      <c r="O19" s="889" t="s">
        <v>354</v>
      </c>
      <c r="P19" s="168">
        <f>+'Equipment Data'!$F$40</f>
        <v>1.5</v>
      </c>
      <c r="Q19" s="169">
        <f t="shared" si="2"/>
        <v>155479.53482455487</v>
      </c>
      <c r="R19" s="503">
        <v>1</v>
      </c>
      <c r="S19" s="217">
        <f>+IF(Tabla2587901201356288919497[[#This Row],[Equipment]]="","",Q19*R19/10^6)</f>
        <v>0.15547953482455487</v>
      </c>
      <c r="T19" s="950">
        <f t="shared" ca="1" si="1"/>
        <v>0.24798650634329839</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963</v>
      </c>
      <c r="D20" s="267" t="s">
        <v>252</v>
      </c>
      <c r="E20" s="267" t="s">
        <v>117</v>
      </c>
      <c r="F20" s="168">
        <f>+X41*1000/3600/AD41</f>
        <v>596.88152264423513</v>
      </c>
      <c r="G20" s="889">
        <f>+AB41</f>
        <v>20</v>
      </c>
      <c r="H20" s="889" t="s">
        <v>352</v>
      </c>
      <c r="I20" s="889" t="s">
        <v>474</v>
      </c>
      <c r="J20" s="889" t="str">
        <f>+IF(F20&gt;'Equipment Data'!$L$126,"yes","No")</f>
        <v>No</v>
      </c>
      <c r="K20" s="889">
        <v>0.67</v>
      </c>
      <c r="L20" s="889" t="s">
        <v>127</v>
      </c>
      <c r="M20" s="172">
        <f>+IF(AND(D20="Heat Exchanger",E20="Fixed tube, sheet, or U tube"),IF(F20&lt;'Equipment Data'!$L$126,10^('Equipment Data'!$C$126+'Equipment Data'!$D$126*LOG10(F20)+'Equipment Data'!$E$126*LOG10(F20)*LOG10(F20)),10^('Equipment Data'!$C$126+'Equipment Data'!$D$126*LOG10('Equipment Data'!$L$126)+'Equipment Data'!$E$126*LOG10('Equipment Data'!$L$126)*LOG10('Equipment Data'!$L$126))*(F20/'Equipment Data'!$L$126)^K20),"N/A")</f>
        <v>55295.981592435463</v>
      </c>
      <c r="N20" s="168">
        <f>+IF(L20="","Input: shell and tube / tube only",IF(L20="shell and tube",IF(G20-1&gt;5,10^('Equipment Data'!$F$126+'Equipment Data'!$G$126*LOG10(G20-1.01325)+'Equipment Data'!$H$126*LOG10(G20-1.01325)*LOG10(G20-1.01325)),1),IF(G20-1.01325&gt;5,10^('Equipment Data'!$F$127+'Equipment Data'!$G$127*LOG10(G20-1.01325)+'Equipment Data'!$H$127*LOG10(G20-1.01325)*LOG10(G20-1.01325)),1)))</f>
        <v>1.0243483626041501</v>
      </c>
      <c r="O20" s="889">
        <f>+IF(I20="CS/CS",'Equipment Data'!$C$149,IF(I20="CS/Cu",'Equipment Data'!$D$149,IF(I20="Cu/Cu",'Equipment Data'!$E$149,IF(I20="CS/SS",'Equipment Data'!$F$149,IF(I20="SS/SS",'Equipment Data'!$G$149,IF(I20="CS/Ni",'Equipment Data'!$H$149,IF(I20="Ni/Ni",'Equipment Data'!$I$149,IF(I20="CS/Ti",'Equipment Data'!$J$149,IF(I20="Ti/Ti",'Equipment Data'!$K$149,"N/A")))))))))</f>
        <v>1.81</v>
      </c>
      <c r="P20" s="168">
        <f>+'Equipment Data'!$I$126+'Equipment Data'!$J$126*N20*O20</f>
        <v>4.7077570902804293</v>
      </c>
      <c r="Q20" s="169">
        <f t="shared" si="2"/>
        <v>260320.04940580417</v>
      </c>
      <c r="R20" s="503">
        <v>1</v>
      </c>
      <c r="S20" s="217">
        <f>+IF(Tabla2587901201356288919497[[#This Row],[Equipment]]="","",Q20*R20/10^6)</f>
        <v>0.26032004940580417</v>
      </c>
      <c r="T20" s="950">
        <f t="shared" ca="1" si="1"/>
        <v>0.41520486703350301</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t="s">
        <v>971</v>
      </c>
      <c r="D21" s="267" t="s">
        <v>252</v>
      </c>
      <c r="E21" s="267" t="s">
        <v>117</v>
      </c>
      <c r="F21" s="168">
        <f>+X42*1000/3600/AD42</f>
        <v>0.75414555088957591</v>
      </c>
      <c r="G21" s="889">
        <f>+AB42</f>
        <v>80</v>
      </c>
      <c r="H21" s="889" t="s">
        <v>352</v>
      </c>
      <c r="I21" s="889" t="s">
        <v>474</v>
      </c>
      <c r="J21" s="889" t="str">
        <f>+IF(F21&gt;'Equipment Data'!$L$126,"yes","No")</f>
        <v>No</v>
      </c>
      <c r="K21" s="889">
        <v>0.67</v>
      </c>
      <c r="L21" s="889" t="s">
        <v>127</v>
      </c>
      <c r="M21" s="172">
        <f>+IF(AND(D21="Heat Exchanger",E21="Fixed tube, sheet, or U tube"),IF(F21&lt;'Equipment Data'!$L$126,10^('Equipment Data'!$C$126+'Equipment Data'!$D$126*LOG10(F21)+'Equipment Data'!$E$126*LOG10(F21)*LOG10(F21)),10^('Equipment Data'!$C$126+'Equipment Data'!$D$126*LOG10('Equipment Data'!$L$126)+'Equipment Data'!$E$126*LOG10('Equipment Data'!$L$126)*LOG10('Equipment Data'!$L$126))*(F21/'Equipment Data'!$L$126)^K21),"N/A")</f>
        <v>23135.820100006709</v>
      </c>
      <c r="N21" s="168">
        <f>+IF(L21="","Input: shell and tube / tube only",IF(L21="shell and tube",IF(G21-1&gt;5,10^('Equipment Data'!$F$126+'Equipment Data'!$G$126*LOG10(G21-1.01325)+'Equipment Data'!$H$126*LOG10(G21-1.01325)*LOG10(G21-1.01325)),1),IF(G21-1.01325&gt;5,10^('Equipment Data'!$F$127+'Equipment Data'!$G$127*LOG10(G21-1.01325)+'Equipment Data'!$H$127*LOG10(G21-1.01325)*LOG10(G21-1.01325)),1)))</f>
        <v>1.0733740557481144</v>
      </c>
      <c r="O21" s="889">
        <f>+IF(I21="CS/CS",'Equipment Data'!$C$149,IF(I21="CS/Cu",'Equipment Data'!$D$149,IF(I21="Cu/Cu",'Equipment Data'!$E$149,IF(I21="CS/SS",'Equipment Data'!$F$149,IF(I21="SS/SS",'Equipment Data'!$G$149,IF(I21="CS/Ni",'Equipment Data'!$H$149,IF(I21="Ni/Ni",'Equipment Data'!$I$149,IF(I21="CS/Ti",'Equipment Data'!$J$149,IF(I21="Ti/Ti",'Equipment Data'!$K$149,"N/A")))))))))</f>
        <v>1.81</v>
      </c>
      <c r="P21" s="168">
        <f>+'Equipment Data'!$I$126+'Equipment Data'!$J$126*N21*O21</f>
        <v>4.8550596879007841</v>
      </c>
      <c r="Q21" s="169">
        <f t="shared" si="2"/>
        <v>112325.78751406725</v>
      </c>
      <c r="R21" s="503">
        <v>1</v>
      </c>
      <c r="S21" s="217">
        <f>+IF(Tabla2587901201356288919497[[#This Row],[Equipment]]="","",Q21*R21/10^6)</f>
        <v>0.11232578751406726</v>
      </c>
      <c r="T21" s="950">
        <f t="shared" ca="1" si="1"/>
        <v>0.17915720965659879</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t="s">
        <v>954</v>
      </c>
      <c r="D22" s="267" t="s">
        <v>269</v>
      </c>
      <c r="E22" s="267" t="s">
        <v>156</v>
      </c>
      <c r="F22" s="889">
        <v>96.508701248476299</v>
      </c>
      <c r="G22" s="889">
        <v>150</v>
      </c>
      <c r="H22" s="889" t="s">
        <v>473</v>
      </c>
      <c r="I22" s="889" t="s">
        <v>85</v>
      </c>
      <c r="J22" s="889" t="str">
        <f>+IF(F22&gt;'Equipment Data'!$S$179,"yes","No")</f>
        <v>No</v>
      </c>
      <c r="K22" s="889">
        <v>0.67</v>
      </c>
      <c r="L22" s="889" t="s">
        <v>354</v>
      </c>
      <c r="M22" s="172">
        <f>+IF(AND(D22="Pump",E22="Centrifugal pump"),IF(F22&lt;'Equipment Data'!$S$179,10^('Equipment Data'!$C$179+'Equipment Data'!$D$179*LOG10(F22)+'Equipment Data'!$E$179*LOG10(F22)*LOG10(F22)),10^('Equipment Data'!$C$179+'Equipment Data'!$D$179*LOG10('Equipment Data'!$S$179)+'Equipment Data'!$E$179*LOG10('Equipment Data'!$S$179)*LOG10('Equipment Data'!$S$179))*(F22/'Equipment Data'!$S$179)^K22),"N/A")</f>
        <v>12627.42187236479</v>
      </c>
      <c r="N22" s="392">
        <f>+IF(G22-1.01325&gt;10,10^('Equipment Data'!$F$179+'Equipment Data'!$G$179*LOG10(G22-1.01325)+'Equipment Data'!$H$179*LOG10(G22-1.01325)*LOG10(G22-1.01325)),1)</f>
        <v>2.8558902513168873</v>
      </c>
      <c r="O22" s="889">
        <f>+IF(I22="Cl",'Equipment Data'!$K$179,IF(I22="CS",'Equipment Data'!$L$179,IF(I22="Cu",'Equipment Data'!$M$179,IF(I22="SS",'Equipment Data'!$N$179,IF(I22="Ni",'Equipment Data'!$O$179,IF(I22="Ti",'Equipment Data'!$P$179,"N/A"))))))</f>
        <v>1.55</v>
      </c>
      <c r="P22" s="889">
        <f>+'Equipment Data'!$I$179+'Equipment Data'!$J$179*O22*N22</f>
        <v>7.8659503508805875</v>
      </c>
      <c r="Q22" s="169">
        <f>+P22*M22</f>
        <v>99326.673507645028</v>
      </c>
      <c r="R22" s="503">
        <v>1</v>
      </c>
      <c r="S22" s="217">
        <f>+IF(Tabla2587901201356288919497[[#This Row],[Equipment]]="","",Q22*R22/10^6)</f>
        <v>9.9326673507645027E-2</v>
      </c>
      <c r="T22" s="950">
        <f t="shared" ca="1" si="1"/>
        <v>0.15842390304072523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t="s">
        <v>1043</v>
      </c>
      <c r="D23" s="267" t="s">
        <v>148</v>
      </c>
      <c r="E23" s="267" t="s">
        <v>178</v>
      </c>
      <c r="F23" s="168">
        <f>1000*0.03831</f>
        <v>38.309999999999995</v>
      </c>
      <c r="G23" s="889" t="s">
        <v>354</v>
      </c>
      <c r="H23" s="889" t="s">
        <v>473</v>
      </c>
      <c r="I23" s="889" t="s">
        <v>87</v>
      </c>
      <c r="J23" s="889" t="str">
        <f>+IF(F23&gt;'Equipment Data'!$G$211,"yes","No")</f>
        <v>yes</v>
      </c>
      <c r="K23" s="889">
        <v>0.67</v>
      </c>
      <c r="L23" s="889" t="s">
        <v>354</v>
      </c>
      <c r="M23" s="172">
        <f>+IF(AND(D23="Turbine",E23="Radial"),IF(F23&lt;'Equipment Data'!$M$211,10^('Equipment Data'!$C$211+'Equipment Data'!$D$211*LOG10(F23)+'Equipment Data'!$E$211*LOG10(F23)*LOG10(F23)),10^('Equipment Data'!$C$211+'Equipment Data'!$D$211*LOG10('Equipment Data'!$M$211)+'Equipment Data'!$E$211*LOG10('Equipment Data'!$M$211)*LOG10('Equipment Data'!$M$211))*(F23/'Equipment Data'!$M$211)^K23),"N/A")</f>
        <v>16270.986205215466</v>
      </c>
      <c r="N23" s="889" t="s">
        <v>354</v>
      </c>
      <c r="O23" s="889" t="s">
        <v>354</v>
      </c>
      <c r="P23" s="889">
        <f>+IF(I23="Cl",'Equipment Data'!$F$211,IF(I23="CS",'Equipment Data'!$G$211,IF(I23="Cu",'Equipment Data'!$H$211,IF(I23="SS",'Equipment Data'!$I$211,IF(I23="Ni",'Equipment Data'!$J$211,IF(I23="Ti",'Equipment Data'!$K$211,"N/A"))))))</f>
        <v>6.13</v>
      </c>
      <c r="Q23" s="169">
        <f>+M23*P23</f>
        <v>99741.145437970801</v>
      </c>
      <c r="R23" s="503">
        <v>1</v>
      </c>
      <c r="S23" s="217">
        <f>+IF(Tabla2587901201356288919497[[#This Row],[Equipment]]="","",Q23*R23/10^6)</f>
        <v>9.9741145437970802E-2</v>
      </c>
      <c r="T23" s="950">
        <f t="shared" ca="1" si="1"/>
        <v>0.15908497683474471</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t="s">
        <v>1044</v>
      </c>
      <c r="D24" s="267" t="s">
        <v>518</v>
      </c>
      <c r="E24" s="267" t="s">
        <v>36</v>
      </c>
      <c r="F24" s="168">
        <f>+F23</f>
        <v>38.309999999999995</v>
      </c>
      <c r="G24" s="889" t="s">
        <v>354</v>
      </c>
      <c r="H24" s="889" t="s">
        <v>473</v>
      </c>
      <c r="I24" s="889" t="s">
        <v>569</v>
      </c>
      <c r="J24" s="889" t="str">
        <f>+IF(F24&gt;'Equipment Data'!$H$40,"yes","No")</f>
        <v>No</v>
      </c>
      <c r="K24" s="889">
        <v>0.67</v>
      </c>
      <c r="L24" s="889" t="s">
        <v>354</v>
      </c>
      <c r="M24" s="172">
        <f>+IF(AND(D24="Drive",E24="Explosion Proof"),IF(F24&lt;'Equipment Data'!$H$40,10^('Equipment Data'!$C$40+'Equipment Data'!$D$40*LOG10(F24)+'Equipment Data'!$E$40*LOG10(F24)*LOG10(F24)),10^('Equipment Data'!$C$40+LOG10('Equipment Data'!$H$40)*'Equipment Data'!$D$40+'Equipment Data'!$E$40*LOG10('Equipment Data'!$H$40)*LOG10('Equipment Data'!$H$40))*(F24/'Equipment Data'!$H$40)^K24),"N/A")</f>
        <v>18052.68164950818</v>
      </c>
      <c r="N24" s="889" t="s">
        <v>354</v>
      </c>
      <c r="O24" s="889" t="s">
        <v>354</v>
      </c>
      <c r="P24" s="168">
        <f>+'Equipment Data'!$F$40</f>
        <v>1.5</v>
      </c>
      <c r="Q24" s="169">
        <f t="shared" ref="Q24" si="3">+M24*P24</f>
        <v>27079.02247426227</v>
      </c>
      <c r="R24" s="503">
        <v>1</v>
      </c>
      <c r="S24" s="217">
        <f>+IF(Tabla2587901201356288919497[[#This Row],[Equipment]]="","",Q24*R24/10^6)</f>
        <v>2.707902247426227E-2</v>
      </c>
      <c r="T24" s="950">
        <f t="shared" ca="1" si="1"/>
        <v>4.3190457098816998E-2</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IF(Tabla2788911211366389929598[[#This Row],[Subtype]]="","",VLOOKUP(Tabla2788911211366389929598[[#This Row],[Subtype]],'Unit-X00 Equipment'!$E$13:$H$107,4,FALSE))</f>
        <v/>
      </c>
      <c r="I25" s="889"/>
      <c r="J25" s="889"/>
      <c r="K25" s="889"/>
      <c r="L25" s="889"/>
      <c r="M25" s="269"/>
      <c r="N25" s="392"/>
      <c r="O25" s="392"/>
      <c r="P25" s="392"/>
      <c r="Q25" s="392"/>
      <c r="R25" s="503"/>
      <c r="S25" s="217" t="str">
        <f>+IF(Tabla2587901201356288919497[[#This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IF(Tabla2788911211366389929598[[#This Row],[Subtype]]="","",VLOOKUP(Tabla2788911211366389929598[[#This Row],[Subtype]],'Unit-X00 Equipment'!$E$13:$H$107,4,FALSE))</f>
        <v/>
      </c>
      <c r="I26" s="889"/>
      <c r="J26" s="889"/>
      <c r="K26" s="889"/>
      <c r="L26" s="889"/>
      <c r="M26" s="269"/>
      <c r="N26" s="392"/>
      <c r="O26" s="392"/>
      <c r="P26" s="392"/>
      <c r="Q26" s="392"/>
      <c r="R26" s="503"/>
      <c r="S26" s="217" t="str">
        <f>+IF(Tabla2587901201356288919497[[#This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IF(Tabla2788911211366389929598[[#This Row],[Subtype]]="","",VLOOKUP(Tabla2788911211366389929598[[#This Row],[Subtype]],'Unit-X00 Equipment'!$E$13:$H$107,4,FALSE))</f>
        <v/>
      </c>
      <c r="I27" s="889"/>
      <c r="J27" s="889"/>
      <c r="K27" s="889"/>
      <c r="L27" s="889"/>
      <c r="M27" s="269"/>
      <c r="N27" s="392"/>
      <c r="O27" s="392"/>
      <c r="P27" s="392"/>
      <c r="Q27" s="392"/>
      <c r="R27" s="503"/>
      <c r="S27" s="217" t="str">
        <f>+IF(Tabla2587901201356288919497[[#This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IF(Tabla2788911211366389929598[[#This Row],[Subtype]]="","",VLOOKUP(Tabla2788911211366389929598[[#This Row],[Subtype]],'Unit-X00 Equipment'!$E$13:$H$107,4,FALSE))</f>
        <v/>
      </c>
      <c r="I28" s="889"/>
      <c r="J28" s="889"/>
      <c r="K28" s="889"/>
      <c r="L28" s="889"/>
      <c r="M28" s="269"/>
      <c r="N28" s="392"/>
      <c r="O28" s="392"/>
      <c r="P28" s="392"/>
      <c r="Q28" s="392"/>
      <c r="R28" s="503"/>
      <c r="S28" s="217" t="str">
        <f>+IF(Tabla2587901201356288919497[[#This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IF(Tabla2788911211366389929598[[#This Row],[Subtype]]="","",VLOOKUP(Tabla2788911211366389929598[[#This Row],[Subtype]],'Unit-X00 Equipment'!$E$13:$H$107,4,FALSE))</f>
        <v/>
      </c>
      <c r="I29" s="889"/>
      <c r="J29" s="889"/>
      <c r="K29" s="889"/>
      <c r="L29" s="889"/>
      <c r="M29" s="269"/>
      <c r="N29" s="392"/>
      <c r="O29" s="392"/>
      <c r="P29" s="392"/>
      <c r="Q29" s="392"/>
      <c r="R29" s="503"/>
      <c r="S29" s="217" t="str">
        <f>+IF(Tabla2587901201356288919497[[#This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IF(Tabla2788911211366389929598[[#This Row],[Subtype]]="","",VLOOKUP(Tabla2788911211366389929598[[#This Row],[Subtype]],'Unit-X00 Equipment'!$E$13:$H$107,4,FALSE))</f>
        <v/>
      </c>
      <c r="I30" s="889"/>
      <c r="J30" s="889"/>
      <c r="K30" s="889"/>
      <c r="L30" s="889"/>
      <c r="M30" s="269"/>
      <c r="N30" s="392"/>
      <c r="O30" s="392"/>
      <c r="P30" s="392"/>
      <c r="Q30" s="392"/>
      <c r="R30" s="503"/>
      <c r="S30" s="217" t="str">
        <f>+IF(Tabla2587901201356288919497[[#This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IF(Tabla2788911211366389929598[[#This Row],[Subtype]]="","",VLOOKUP(Tabla2788911211366389929598[[#This Row],[Subtype]],'Unit-X00 Equipment'!$E$13:$H$107,4,FALSE))</f>
        <v/>
      </c>
      <c r="I31" s="889"/>
      <c r="J31" s="889"/>
      <c r="K31" s="889"/>
      <c r="L31" s="889"/>
      <c r="M31" s="269"/>
      <c r="N31" s="392"/>
      <c r="O31" s="392"/>
      <c r="P31" s="392"/>
      <c r="Q31" s="392"/>
      <c r="R31" s="503"/>
      <c r="S31" s="217" t="str">
        <f>+IF(Tabla2587901201356288919497[[#This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IF(Tabla2788911211366389929598[[#This Row],[Subtype]]="","",VLOOKUP(Tabla2788911211366389929598[[#This Row],[Subtype]],'Unit-X00 Equipment'!$E$13:$H$107,4,FALSE))</f>
        <v/>
      </c>
      <c r="I32" s="889"/>
      <c r="J32" s="889"/>
      <c r="K32" s="889"/>
      <c r="L32" s="889"/>
      <c r="M32" s="172"/>
      <c r="N32" s="889"/>
      <c r="O32" s="889"/>
      <c r="P32" s="168"/>
      <c r="Q32" s="169"/>
      <c r="R32" s="503"/>
      <c r="S32" s="217" t="str">
        <f>+IF(Tabla2587901201356288919497[[#This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IF(Tabla2788911211366389929598[[#This Row],[Subtype]]="","",VLOOKUP(Tabla2788911211366389929598[[#This Row],[Subtype]],'Unit-X00 Equipment'!$E$13:$H$107,4,FALSE))</f>
        <v/>
      </c>
      <c r="I33" s="889"/>
      <c r="J33" s="889"/>
      <c r="K33" s="889"/>
      <c r="L33" s="889"/>
      <c r="M33" s="172"/>
      <c r="N33" s="889"/>
      <c r="O33" s="889"/>
      <c r="P33" s="392"/>
      <c r="Q33" s="169"/>
      <c r="R33" s="503"/>
      <c r="S33" s="217" t="str">
        <f>+IF(Tabla2587901201356288919497[[#This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IF(Tabla2788911211366389929598[[#This Row],[Subtype]]="","",VLOOKUP(Tabla2788911211366389929598[[#This Row],[Subtype]],'Unit-X00 Equipment'!$E$13:$H$107,4,FALSE))</f>
        <v/>
      </c>
      <c r="I34" s="889"/>
      <c r="J34" s="889"/>
      <c r="K34" s="889"/>
      <c r="L34" s="889"/>
      <c r="M34" s="172"/>
      <c r="N34" s="889"/>
      <c r="O34" s="889"/>
      <c r="P34" s="889"/>
      <c r="Q34" s="169"/>
      <c r="R34" s="503"/>
      <c r="S34" s="217" t="str">
        <f>+IF(Tabla2587901201356288919497[[#This Row],[Equipment]]="","",Q34*R34/10^6)</f>
        <v/>
      </c>
      <c r="T34" s="950" t="e">
        <f t="shared" ca="1" si="1"/>
        <v>#VALUE!</v>
      </c>
      <c r="U34" s="105"/>
      <c r="V34" s="116"/>
      <c r="W34" s="1096" t="str">
        <f>+E6&amp;" Calculations"</f>
        <v>CO₂ CPU Calculations</v>
      </c>
      <c r="X34" s="1097"/>
      <c r="Y34" s="1097"/>
      <c r="Z34" s="1097"/>
      <c r="AA34" s="1097"/>
      <c r="AB34" s="1097"/>
      <c r="AC34" s="1097"/>
      <c r="AD34" s="1097"/>
      <c r="AE34" s="1097"/>
      <c r="AF34" s="1097"/>
      <c r="AG34" s="1097"/>
      <c r="AH34" s="1097"/>
      <c r="AI34" s="1097"/>
      <c r="AJ34" s="1097"/>
      <c r="AK34" s="1097"/>
      <c r="AL34" s="1097"/>
      <c r="AM34" s="1097"/>
      <c r="AN34" s="1098"/>
      <c r="AO34" s="113"/>
      <c r="AP34" s="105"/>
      <c r="AQ34" s="241"/>
      <c r="AR34" s="452"/>
    </row>
    <row r="35" spans="1:44" ht="16.2" customHeight="1" x14ac:dyDescent="0.3">
      <c r="A35" s="83"/>
      <c r="B35" s="104"/>
      <c r="C35" s="440"/>
      <c r="D35" s="233"/>
      <c r="E35" s="267"/>
      <c r="F35" s="392"/>
      <c r="G35" s="392"/>
      <c r="H35" s="512" t="str">
        <f>IF(Tabla2788911211366389929598[[#This Row],[Subtype]]="","",VLOOKUP(Tabla2788911211366389929598[[#This Row],[Subtype]],'Unit-X00 Equipment'!$E$13:$H$107,4,FALSE))</f>
        <v/>
      </c>
      <c r="I35" s="889"/>
      <c r="J35" s="889"/>
      <c r="K35" s="889"/>
      <c r="L35" s="889"/>
      <c r="M35" s="172"/>
      <c r="N35" s="889"/>
      <c r="O35" s="889"/>
      <c r="P35" s="889"/>
      <c r="Q35" s="169"/>
      <c r="R35" s="503"/>
      <c r="S35" s="217" t="str">
        <f>+IF(Tabla2587901201356288919497[[#This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IF(Tabla2788911211366389929598[[#This Row],[Subtype]]="","",VLOOKUP(Tabla2788911211366389929598[[#This Row],[Subtype]],'Unit-X00 Equipment'!$E$13:$H$107,4,FALSE))</f>
        <v/>
      </c>
      <c r="I36" s="889"/>
      <c r="J36" s="889"/>
      <c r="K36" s="889"/>
      <c r="L36" s="889"/>
      <c r="M36" s="172"/>
      <c r="N36" s="889"/>
      <c r="O36" s="889"/>
      <c r="P36" s="889"/>
      <c r="Q36" s="169"/>
      <c r="R36" s="503"/>
      <c r="S36" s="217" t="str">
        <f>+IF(Tabla2587901201356288919497[[#This Row],[Equipment]]="","",Q36*R36/10^6)</f>
        <v/>
      </c>
      <c r="T36" s="950" t="e">
        <f t="shared" ca="1" si="1"/>
        <v>#VALUE!</v>
      </c>
      <c r="U36" s="105"/>
      <c r="V36" s="806"/>
      <c r="W36" s="1150" t="s">
        <v>821</v>
      </c>
      <c r="X36" s="1175"/>
      <c r="Y36" s="1175"/>
      <c r="Z36" s="1175"/>
      <c r="AA36" s="1175"/>
      <c r="AB36" s="1175"/>
      <c r="AC36" s="1175"/>
      <c r="AD36" s="1151"/>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IF(Tabla2788911211366389929598[[#This Row],[Subtype]]="","",VLOOKUP(Tabla2788911211366389929598[[#This Row],[Subtype]],'Unit-X00 Equipment'!$E$13:$H$107,4,FALSE))</f>
        <v/>
      </c>
      <c r="I37" s="889"/>
      <c r="J37" s="889"/>
      <c r="K37" s="889"/>
      <c r="L37" s="889"/>
      <c r="M37" s="172"/>
      <c r="N37" s="889"/>
      <c r="O37" s="889"/>
      <c r="P37" s="889"/>
      <c r="Q37" s="169"/>
      <c r="R37" s="503"/>
      <c r="S37" s="217" t="str">
        <f>+IF(Tabla2587901201356288919497[[#This Row],[Equipment]]="","",Q37*R37/10^6)</f>
        <v/>
      </c>
      <c r="T37" s="950" t="e">
        <f t="shared" ca="1" si="1"/>
        <v>#VALUE!</v>
      </c>
      <c r="U37" s="105"/>
      <c r="V37" s="806"/>
      <c r="W37" s="1176" t="s">
        <v>822</v>
      </c>
      <c r="X37" s="1093"/>
      <c r="Y37" s="1094"/>
      <c r="Z37" s="1147" t="s">
        <v>823</v>
      </c>
      <c r="AA37" s="1148"/>
      <c r="AB37" s="1147" t="s">
        <v>824</v>
      </c>
      <c r="AC37" s="1149"/>
      <c r="AD37" s="865" t="s">
        <v>825</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IF(Tabla2788911211366389929598[[#This Row],[Subtype]]="","",VLOOKUP(Tabla2788911211366389929598[[#This Row],[Subtype]],'Unit-X00 Equipment'!$E$13:$H$107,4,FALSE))</f>
        <v/>
      </c>
      <c r="I38" s="889"/>
      <c r="J38" s="889"/>
      <c r="K38" s="889"/>
      <c r="L38" s="889"/>
      <c r="M38" s="172"/>
      <c r="N38" s="889"/>
      <c r="O38" s="889"/>
      <c r="P38" s="889"/>
      <c r="Q38" s="169"/>
      <c r="R38" s="503"/>
      <c r="S38" s="217" t="str">
        <f>+IF(Tabla2587901201356288919497[[#This Row],[Equipment]]="","",Q38*R38/10^6)</f>
        <v/>
      </c>
      <c r="T38" s="950" t="e">
        <f t="shared" ca="1" si="1"/>
        <v>#VALUE!</v>
      </c>
      <c r="U38" s="105"/>
      <c r="V38" s="806"/>
      <c r="W38" s="865" t="s">
        <v>350</v>
      </c>
      <c r="X38" s="865" t="s">
        <v>826</v>
      </c>
      <c r="Y38" s="865" t="s">
        <v>827</v>
      </c>
      <c r="Z38" s="810" t="s">
        <v>828</v>
      </c>
      <c r="AA38" s="808" t="s">
        <v>829</v>
      </c>
      <c r="AB38" s="810" t="s">
        <v>828</v>
      </c>
      <c r="AC38" s="821" t="s">
        <v>829</v>
      </c>
      <c r="AD38" s="186" t="s">
        <v>830</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IF(Tabla2788911211366389929598[[#This Row],[Subtype]]="","",VLOOKUP(Tabla2788911211366389929598[[#This Row],[Subtype]],'Unit-X00 Equipment'!$E$13:$H$107,4,FALSE))</f>
        <v/>
      </c>
      <c r="I39" s="92"/>
      <c r="J39" s="92"/>
      <c r="K39" s="92"/>
      <c r="L39" s="92"/>
      <c r="M39" s="270"/>
      <c r="N39" s="92"/>
      <c r="O39" s="92"/>
      <c r="P39" s="92"/>
      <c r="Q39" s="271"/>
      <c r="R39" s="504"/>
      <c r="S39" s="217" t="str">
        <f>+IF(Tabla2587901201356288919497[[#This Row],[Equipment]]="","",Q39*R39/10^6)</f>
        <v/>
      </c>
      <c r="T39" s="950" t="e">
        <f t="shared" ca="1" si="1"/>
        <v>#VALUE!</v>
      </c>
      <c r="U39" s="105"/>
      <c r="V39" s="806"/>
      <c r="W39" s="865" t="str">
        <f>+C13</f>
        <v>HEX-601</v>
      </c>
      <c r="X39" s="865">
        <v>1689128.9190828199</v>
      </c>
      <c r="Y39" s="871" t="s">
        <v>831</v>
      </c>
      <c r="Z39" s="671" t="s">
        <v>832</v>
      </c>
      <c r="AA39" s="814">
        <f t="shared" ref="AA39:AA42" si="4">IF(Z39="Ph. Ch.",$Y$52,IF(Z39="Liquid",$Y$51,$Y$49*Z39^$Y$50))</f>
        <v>5000</v>
      </c>
      <c r="AB39" s="809" t="s">
        <v>832</v>
      </c>
      <c r="AC39" s="815">
        <f t="shared" ref="AC39:AC42" si="5">IF(AB39="Ph. Ch.",$Y$52,IF(AB39="Liquid",$Y$51,$Y$49*AB39^$Y$50))</f>
        <v>5000</v>
      </c>
      <c r="AD39" s="816">
        <f t="shared" ref="AD39:AD42" si="6">1/(1/AA39+1/AC39)</f>
        <v>2500</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IF(Tabla2788911211366389929598[[#This Row],[Subtype]]="","",VLOOKUP(Tabla2788911211366389929598[[#This Row],[Subtype]],'Unit-X00 Equipment'!$E$13:$H$107,4,FALSE))</f>
        <v/>
      </c>
      <c r="I40" s="92"/>
      <c r="J40" s="92"/>
      <c r="K40" s="92"/>
      <c r="L40" s="92"/>
      <c r="M40" s="270"/>
      <c r="N40" s="92"/>
      <c r="O40" s="92"/>
      <c r="P40" s="92"/>
      <c r="Q40" s="271"/>
      <c r="R40" s="504"/>
      <c r="S40" s="217" t="str">
        <f>+IF(Tabla2587901201356288919497[[#This Row],[Equipment]]="","",Q40*R40/10^6)</f>
        <v/>
      </c>
      <c r="T40" s="950" t="e">
        <f t="shared" ca="1" si="1"/>
        <v>#VALUE!</v>
      </c>
      <c r="U40" s="105"/>
      <c r="V40" s="806"/>
      <c r="W40" s="865" t="str">
        <f>+C14</f>
        <v>HEX-602</v>
      </c>
      <c r="X40" s="865">
        <v>36237.391251741697</v>
      </c>
      <c r="Y40" s="871" t="s">
        <v>831</v>
      </c>
      <c r="Z40" s="116" t="s">
        <v>832</v>
      </c>
      <c r="AA40" s="812">
        <f t="shared" si="4"/>
        <v>5000</v>
      </c>
      <c r="AB40" s="811" t="str">
        <f t="shared" ref="AB40" si="7">+AB39</f>
        <v>Ph. Ch.</v>
      </c>
      <c r="AC40" s="813">
        <f t="shared" si="5"/>
        <v>5000</v>
      </c>
      <c r="AD40" s="818">
        <f t="shared" si="6"/>
        <v>2500</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IF(Tabla2788911211366389929598[[#This Row],[Subtype]]="","",VLOOKUP(Tabla2788911211366389929598[[#This Row],[Subtype]],'Unit-X00 Equipment'!$E$13:$H$107,4,FALSE))</f>
        <v/>
      </c>
      <c r="I41" s="889"/>
      <c r="J41" s="889"/>
      <c r="K41" s="889"/>
      <c r="L41" s="889"/>
      <c r="M41" s="172"/>
      <c r="N41" s="889"/>
      <c r="O41" s="889"/>
      <c r="P41" s="168"/>
      <c r="Q41" s="169"/>
      <c r="R41" s="503"/>
      <c r="S41" s="217" t="str">
        <f>+IF(Tabla2587901201356288919497[[#This Row],[Equipment]]="","",Q41*R41/10^6)</f>
        <v/>
      </c>
      <c r="T41" s="950" t="e">
        <f t="shared" ca="1" si="1"/>
        <v>#VALUE!</v>
      </c>
      <c r="U41" s="105"/>
      <c r="V41" s="806"/>
      <c r="W41" s="865" t="str">
        <f>+C20</f>
        <v>C-401</v>
      </c>
      <c r="X41" s="865">
        <v>574963.170822346</v>
      </c>
      <c r="Y41" s="871" t="s">
        <v>873</v>
      </c>
      <c r="Z41" s="867" t="s">
        <v>819</v>
      </c>
      <c r="AA41" s="506">
        <f t="shared" si="4"/>
        <v>1500</v>
      </c>
      <c r="AB41" s="862">
        <v>20</v>
      </c>
      <c r="AC41" s="385">
        <f t="shared" si="5"/>
        <v>325.67242522952336</v>
      </c>
      <c r="AD41" s="817">
        <f t="shared" si="6"/>
        <v>267.57737647424335</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IF(Tabla2788911211366389929598[[#This Row],[Subtype]]="","",VLOOKUP(Tabla2788911211366389929598[[#This Row],[Subtype]],'Unit-X00 Equipment'!$E$13:$H$107,4,FALSE))</f>
        <v/>
      </c>
      <c r="I42" s="889"/>
      <c r="J42" s="889"/>
      <c r="K42" s="889"/>
      <c r="L42" s="889"/>
      <c r="M42" s="172"/>
      <c r="N42" s="889"/>
      <c r="O42" s="889"/>
      <c r="P42" s="392"/>
      <c r="Q42" s="169"/>
      <c r="R42" s="503"/>
      <c r="S42" s="217" t="str">
        <f>+IF(Tabla2587901201356288919497[[#This Row],[Equipment]]="","",Q42*R42/10^6)</f>
        <v/>
      </c>
      <c r="T42" s="950" t="e">
        <f t="shared" ca="1" si="1"/>
        <v>#VALUE!</v>
      </c>
      <c r="U42" s="105"/>
      <c r="V42" s="806"/>
      <c r="W42" s="865" t="str">
        <f>+C21</f>
        <v>C-402</v>
      </c>
      <c r="X42" s="865">
        <v>1483.4068320046099</v>
      </c>
      <c r="Y42" s="871" t="s">
        <v>873</v>
      </c>
      <c r="Z42" s="868" t="s">
        <v>819</v>
      </c>
      <c r="AA42" s="838">
        <f t="shared" si="4"/>
        <v>1500</v>
      </c>
      <c r="AB42" s="870">
        <v>80</v>
      </c>
      <c r="AC42" s="839">
        <f t="shared" si="5"/>
        <v>859.45468282190006</v>
      </c>
      <c r="AD42" s="840">
        <f t="shared" si="6"/>
        <v>546.3898220291278</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IF(Tabla2788911211366389929598[[#This Row],[Subtype]]="","",VLOOKUP(Tabla2788911211366389929598[[#This Row],[Subtype]],'Unit-X00 Equipment'!$E$13:$H$107,4,FALSE))</f>
        <v/>
      </c>
      <c r="I43" s="889"/>
      <c r="J43" s="889"/>
      <c r="K43" s="889"/>
      <c r="L43" s="889"/>
      <c r="M43" s="332"/>
      <c r="N43" s="892"/>
      <c r="O43" s="892"/>
      <c r="P43" s="892"/>
      <c r="Q43" s="333"/>
      <c r="R43" s="505"/>
      <c r="S43" s="217" t="str">
        <f>+IF(Tabla2587901201356288919497[[#This Row],[Equipment]]="","",Q43*R43/10^6)</f>
        <v/>
      </c>
      <c r="T43" s="950" t="e">
        <f t="shared" ca="1" si="1"/>
        <v>#VALUE!</v>
      </c>
      <c r="U43" s="105"/>
      <c r="V43" s="806"/>
      <c r="W43" s="1204" t="s">
        <v>856</v>
      </c>
      <c r="X43" s="1205"/>
      <c r="Y43" s="1205"/>
      <c r="Z43" s="1214"/>
      <c r="AA43" s="1214"/>
      <c r="AB43" s="1214"/>
      <c r="AC43" s="1214"/>
      <c r="AD43" s="1214"/>
      <c r="AE43" s="1205"/>
      <c r="AF43" s="1206"/>
      <c r="AG43" s="385"/>
      <c r="AH43" s="725"/>
      <c r="AI43" s="725"/>
      <c r="AJ43" s="725"/>
      <c r="AK43" s="725"/>
      <c r="AL43" s="725"/>
      <c r="AM43" s="725"/>
      <c r="AN43" s="385"/>
      <c r="AO43" s="113"/>
      <c r="AP43" s="105"/>
      <c r="AQ43" s="241"/>
      <c r="AR43" s="452"/>
    </row>
    <row r="44" spans="1:44" ht="16.2" customHeight="1" x14ac:dyDescent="0.3">
      <c r="A44" s="83"/>
      <c r="B44" s="104"/>
      <c r="C44" s="441"/>
      <c r="D44" s="1103" t="s">
        <v>536</v>
      </c>
      <c r="E44" s="1103"/>
      <c r="F44" s="1103"/>
      <c r="G44" s="1103"/>
      <c r="H44" s="1103"/>
      <c r="I44" s="1103"/>
      <c r="J44" s="1103"/>
      <c r="K44" s="1103"/>
      <c r="L44" s="1103"/>
      <c r="M44" s="1171"/>
      <c r="N44" s="1171"/>
      <c r="O44" s="1171"/>
      <c r="P44" s="1171"/>
      <c r="Q44" s="1171"/>
      <c r="R44" s="1171"/>
      <c r="S44" s="443"/>
      <c r="T44" s="950">
        <f t="shared" ca="1" si="1"/>
        <v>0</v>
      </c>
      <c r="U44" s="105"/>
      <c r="V44" s="806"/>
      <c r="W44" s="865" t="s">
        <v>461</v>
      </c>
      <c r="X44" s="865" t="s">
        <v>857</v>
      </c>
      <c r="Y44" s="865" t="s">
        <v>858</v>
      </c>
      <c r="Z44" s="865" t="s">
        <v>859</v>
      </c>
      <c r="AA44" s="865" t="s">
        <v>860</v>
      </c>
      <c r="AB44" s="865" t="s">
        <v>865</v>
      </c>
      <c r="AC44" s="865" t="s">
        <v>861</v>
      </c>
      <c r="AD44" s="826" t="s">
        <v>862</v>
      </c>
      <c r="AE44" s="827" t="s">
        <v>863</v>
      </c>
      <c r="AF44" s="830" t="s">
        <v>866</v>
      </c>
      <c r="AG44" s="385"/>
      <c r="AH44" s="725"/>
      <c r="AI44" s="725"/>
      <c r="AJ44" s="725"/>
      <c r="AK44" s="725"/>
      <c r="AL44" s="725"/>
      <c r="AM44" s="725"/>
      <c r="AN44" s="385"/>
      <c r="AO44" s="113"/>
      <c r="AP44" s="105"/>
      <c r="AQ44" s="241"/>
      <c r="AR44" s="452"/>
    </row>
    <row r="45" spans="1:44" ht="16.2" customHeight="1" x14ac:dyDescent="0.3">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89" t="s">
        <v>469</v>
      </c>
      <c r="S45" s="589" t="s">
        <v>496</v>
      </c>
      <c r="T45" s="106"/>
      <c r="U45" s="105"/>
      <c r="V45" s="806"/>
      <c r="W45" s="865" t="str">
        <f>+C15</f>
        <v>V-601</v>
      </c>
      <c r="X45" s="832">
        <f>19.1200782717717/3600</f>
        <v>5.3111328532699162E-3</v>
      </c>
      <c r="Y45" s="832">
        <f>23.5736322140178/3600</f>
        <v>6.5482311705604996E-3</v>
      </c>
      <c r="Z45" s="832">
        <v>1062.55571875591</v>
      </c>
      <c r="AA45" s="832">
        <v>66.505100635607306</v>
      </c>
      <c r="AB45" s="826">
        <f t="shared" ref="AB45:AB46" si="8">+(AC45*4/PI())^0.5</f>
        <v>0.21985706708822891</v>
      </c>
      <c r="AC45" s="831">
        <f t="shared" ref="AC45:AC46" si="9">+X45/(0.035*(Z45/AA45)^0.5)</f>
        <v>3.7963893085564075E-2</v>
      </c>
      <c r="AD45" s="831">
        <f t="shared" ref="AD45:AD46" si="10">+AC45*(4*AC45/PI())^0.5</f>
        <v>8.3466301890432106E-3</v>
      </c>
      <c r="AE45" s="831">
        <f t="shared" ref="AE45:AE46" si="11">600*Y45</f>
        <v>3.9289387023362998</v>
      </c>
      <c r="AF45" s="830">
        <v>31</v>
      </c>
      <c r="AG45" s="385"/>
      <c r="AH45" s="725"/>
      <c r="AI45" s="725"/>
      <c r="AJ45" s="725"/>
      <c r="AK45" s="725"/>
      <c r="AL45" s="725"/>
      <c r="AM45" s="725"/>
      <c r="AN45" s="385"/>
      <c r="AO45" s="113"/>
      <c r="AP45" s="105"/>
      <c r="AQ45" s="241"/>
      <c r="AR45" s="452"/>
    </row>
    <row r="46" spans="1:44" ht="16.2" customHeight="1" x14ac:dyDescent="0.3">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65" t="str">
        <f>+C16</f>
        <v>V-602</v>
      </c>
      <c r="X46" s="832">
        <f>12.9742857017257/3600</f>
        <v>3.6039682504793611E-3</v>
      </c>
      <c r="Y46" s="832">
        <f>0.407115773308519/3600</f>
        <v>1.1308771480792194E-4</v>
      </c>
      <c r="Z46" s="832">
        <v>1126.3820068899199</v>
      </c>
      <c r="AA46" s="832">
        <v>62.663553627536999</v>
      </c>
      <c r="AB46" s="826">
        <f t="shared" si="8"/>
        <v>0.17585059585430371</v>
      </c>
      <c r="AC46" s="831">
        <f t="shared" si="9"/>
        <v>2.4287206747686911E-2</v>
      </c>
      <c r="AD46" s="831">
        <f t="shared" si="10"/>
        <v>4.2709197782174087E-3</v>
      </c>
      <c r="AE46" s="831">
        <f t="shared" si="11"/>
        <v>6.7852628884753172E-2</v>
      </c>
      <c r="AF46" s="830">
        <v>30</v>
      </c>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50" t="s">
        <v>358</v>
      </c>
      <c r="X48" s="1151"/>
      <c r="Y48" s="865" t="s">
        <v>816</v>
      </c>
      <c r="Z48" s="881"/>
      <c r="AA48" s="881"/>
      <c r="AB48" s="881"/>
      <c r="AC48" s="881"/>
      <c r="AD48" s="507"/>
      <c r="AE48" s="507"/>
      <c r="AF48" s="517"/>
      <c r="AG48" s="88" t="s">
        <v>686</v>
      </c>
      <c r="AH48" s="88" t="s">
        <v>359</v>
      </c>
      <c r="AI48" s="1213" t="s">
        <v>579</v>
      </c>
      <c r="AJ48" s="1213"/>
      <c r="AK48" s="1213"/>
      <c r="AL48" s="1213"/>
      <c r="AM48" s="1213"/>
      <c r="AN48" s="1213"/>
      <c r="AO48" s="113"/>
      <c r="AP48" s="105"/>
      <c r="AQ48" s="241"/>
      <c r="AR48" s="452"/>
    </row>
    <row r="49" spans="1:57" ht="16.2" customHeight="1" x14ac:dyDescent="0.3">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52" t="s">
        <v>817</v>
      </c>
      <c r="X49" s="1153"/>
      <c r="Y49" s="807">
        <v>40</v>
      </c>
      <c r="Z49" s="507"/>
      <c r="AA49" s="507"/>
      <c r="AB49" s="507"/>
      <c r="AC49" s="507"/>
      <c r="AD49" s="507"/>
      <c r="AE49" s="507"/>
      <c r="AF49" s="517"/>
      <c r="AG49" s="921">
        <v>8</v>
      </c>
      <c r="AH49" s="921" t="s">
        <v>983</v>
      </c>
      <c r="AI49" s="1197" t="s">
        <v>982</v>
      </c>
      <c r="AJ49" s="1197"/>
      <c r="AK49" s="1197"/>
      <c r="AL49" s="1197"/>
      <c r="AM49" s="1197"/>
      <c r="AN49" s="1197"/>
      <c r="AO49" s="113"/>
      <c r="AP49" s="105"/>
      <c r="AQ49" s="241"/>
      <c r="AR49" s="452"/>
    </row>
    <row r="50" spans="1:57" ht="16.2" customHeight="1" x14ac:dyDescent="0.3">
      <c r="A50" s="83"/>
      <c r="B50" s="104"/>
      <c r="C50" s="801" t="s">
        <v>255</v>
      </c>
      <c r="D50" s="801"/>
      <c r="E50" s="802"/>
      <c r="F50" s="802">
        <f>+F46</f>
        <v>0</v>
      </c>
      <c r="G50" s="802">
        <v>2001</v>
      </c>
      <c r="H50" s="802">
        <f>+H49</f>
        <v>0</v>
      </c>
      <c r="I50" s="889"/>
      <c r="J50" s="889"/>
      <c r="K50" s="889"/>
      <c r="L50" s="889"/>
      <c r="M50" s="888"/>
      <c r="N50" s="889"/>
      <c r="O50" s="889"/>
      <c r="P50" s="889"/>
      <c r="Q50" s="798">
        <v>1</v>
      </c>
      <c r="R50" s="799">
        <f>+S13</f>
        <v>0.20258591743862187</v>
      </c>
      <c r="S50" s="799" t="e" cm="1">
        <f t="array" aca="1" ref="S50" ca="1">IF(ISBLANK(Q50),"",IF(R50&gt;0,R50*INDIRECT(ADDRESS(MATCH(G50,'Cost Conversion'!$B$3:$B$48,0)+2,4,1,1,"Cost conversion"))*INDIRECT(ADDRESS(MATCH(H50,'Cost Conversion'!$F$3:$F$22,0)+2,8,1,1,"Cost conversion"))/IF(F50="$",'Cost Conversion'!$L$2,1),0))</f>
        <v>#N/A</v>
      </c>
      <c r="T50" s="106"/>
      <c r="U50" s="105"/>
      <c r="V50" s="120"/>
      <c r="W50" s="1146" t="s">
        <v>818</v>
      </c>
      <c r="X50" s="1106"/>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774</v>
      </c>
      <c r="D51" s="801"/>
      <c r="E51" s="802"/>
      <c r="F51" s="802">
        <f>+F50</f>
        <v>0</v>
      </c>
      <c r="G51" s="802">
        <v>2001</v>
      </c>
      <c r="H51" s="802">
        <f>+H50</f>
        <v>0</v>
      </c>
      <c r="I51" s="889"/>
      <c r="J51" s="889"/>
      <c r="K51" s="889"/>
      <c r="L51" s="889"/>
      <c r="M51" s="891"/>
      <c r="N51" s="892"/>
      <c r="O51" s="892"/>
      <c r="P51" s="892"/>
      <c r="Q51" s="800">
        <v>1</v>
      </c>
      <c r="R51" s="799">
        <f>+S14</f>
        <v>0.1065209503764607</v>
      </c>
      <c r="S51" s="799" t="e" cm="1">
        <f t="array" aca="1" ref="S51" ca="1">IF(ISBLANK(Q51),"",IF(R51&gt;0,R51*INDIRECT(ADDRESS(MATCH(G51,'Cost Conversion'!$B$3:$B$48,0)+2,4,1,1,"Cost conversion"))*INDIRECT(ADDRESS(MATCH(H51,'Cost Conversion'!$F$3:$F$22,0)+2,8,1,1,"Cost conversion"))/IF(F51="$",'Cost Conversion'!$L$2,1),0))</f>
        <v>#N/A</v>
      </c>
      <c r="T51" s="106"/>
      <c r="U51" s="105"/>
      <c r="V51" s="120"/>
      <c r="W51" s="1146" t="s">
        <v>819</v>
      </c>
      <c r="X51" s="1106"/>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584</v>
      </c>
      <c r="N52" s="541" t="s">
        <v>463</v>
      </c>
      <c r="O52" s="899" t="s">
        <v>315</v>
      </c>
      <c r="P52" s="1155" t="s">
        <v>476</v>
      </c>
      <c r="Q52" s="1156"/>
      <c r="R52" s="589" t="s">
        <v>639</v>
      </c>
      <c r="S52" s="833" t="s">
        <v>638</v>
      </c>
      <c r="T52" s="106"/>
      <c r="U52" s="105"/>
      <c r="V52" s="120"/>
      <c r="W52" s="1147" t="s">
        <v>820</v>
      </c>
      <c r="X52" s="1148"/>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488</v>
      </c>
      <c r="N53" s="531" t="s">
        <v>486</v>
      </c>
      <c r="O53" s="901">
        <v>2001</v>
      </c>
      <c r="P53" s="1077" t="s">
        <v>477</v>
      </c>
      <c r="Q53" s="1079"/>
      <c r="R53" s="551">
        <f>+IF(SUM(S13:S43)&gt;0,IF(G3="Equipment",SUM(S13:S43),"NaN"),"")</f>
        <v>2.2236332481827241</v>
      </c>
      <c r="S53" s="552" cm="1">
        <f t="array" aca="1" ref="S53" ca="1">+IF(R53="",0,R53*INDIRECT(ADDRESS(MATCH(O53,'Cost Conversion'!$B$3:$B$48,0)+2,4,1,1,"Cost conversion"))*INDIRECT(ADDRESS(MATCH(P53,'Cost Conversion'!$F$3:$F$22,0)+2,8,1,1,"Cost conversion"))/IF(N53="$",'Cost Conversion'!$L$2,1))</f>
        <v>3.5466470955671192</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640</v>
      </c>
      <c r="N54" s="140"/>
      <c r="O54" s="146"/>
      <c r="P54" s="1077"/>
      <c r="Q54" s="1079"/>
      <c r="R54" s="551" t="s">
        <v>354</v>
      </c>
      <c r="S54" s="552">
        <f ca="1">+IF(SUM(S46:S49)&gt;=0,SUM(S46:S49),"")</f>
        <v>0</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102" t="str">
        <f>+"BEC Distribution: "&amp;E6</f>
        <v>BEC Distribution: CO₂ CPU</v>
      </c>
      <c r="C57" s="1103"/>
      <c r="D57" s="1103"/>
      <c r="E57" s="1103"/>
      <c r="F57" s="1103"/>
      <c r="G57" s="1104"/>
      <c r="H57" s="1102" t="str">
        <f>+"Estimate Benchmark: "&amp;E6</f>
        <v>Estimate Benchmark: CO₂ CPU</v>
      </c>
      <c r="I57" s="1103"/>
      <c r="J57" s="1103"/>
      <c r="K57" s="1103"/>
      <c r="L57" s="1103"/>
      <c r="M57" s="1103"/>
      <c r="N57" s="1104"/>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4" t="s">
        <v>1019</v>
      </c>
      <c r="C81" s="1135"/>
      <c r="D81" s="1135"/>
      <c r="E81" s="1135"/>
      <c r="F81" s="1135"/>
      <c r="G81" s="1136"/>
      <c r="H81" s="128" t="s">
        <v>686</v>
      </c>
      <c r="I81" s="129" t="s">
        <v>359</v>
      </c>
      <c r="J81" s="1181" t="s">
        <v>579</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7"/>
      <c r="C82" s="1138"/>
      <c r="D82" s="1138"/>
      <c r="E82" s="1138"/>
      <c r="F82" s="1138"/>
      <c r="G82" s="1139"/>
      <c r="H82" s="628"/>
      <c r="I82" s="729"/>
      <c r="J82" s="1193"/>
      <c r="K82" s="1194"/>
      <c r="L82" s="1194"/>
      <c r="M82" s="1194"/>
      <c r="N82" s="119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8">
    <mergeCell ref="W36:AD36"/>
    <mergeCell ref="W37:Y37"/>
    <mergeCell ref="Z37:AA37"/>
    <mergeCell ref="AB37:AC37"/>
    <mergeCell ref="W43:AF43"/>
    <mergeCell ref="W34:AN34"/>
    <mergeCell ref="C3:F3"/>
    <mergeCell ref="G3:H3"/>
    <mergeCell ref="J3:M3"/>
    <mergeCell ref="O3:S3"/>
    <mergeCell ref="W3:AN3"/>
    <mergeCell ref="D5:E5"/>
    <mergeCell ref="G5:H5"/>
    <mergeCell ref="J5:K9"/>
    <mergeCell ref="O5:S5"/>
    <mergeCell ref="C6:C7"/>
    <mergeCell ref="C8:C9"/>
    <mergeCell ref="D8:D9"/>
    <mergeCell ref="E8:E9"/>
    <mergeCell ref="D11:L11"/>
    <mergeCell ref="M11:R11"/>
    <mergeCell ref="AI48:AN48"/>
    <mergeCell ref="P52:Q52"/>
    <mergeCell ref="P53:Q53"/>
    <mergeCell ref="P54:Q54"/>
    <mergeCell ref="B57:G57"/>
    <mergeCell ref="H57:N57"/>
    <mergeCell ref="W49:X49"/>
    <mergeCell ref="W50:X50"/>
    <mergeCell ref="W51:X51"/>
    <mergeCell ref="W52:X52"/>
    <mergeCell ref="W48:X48"/>
    <mergeCell ref="AI49:AN49"/>
    <mergeCell ref="O6:S9"/>
    <mergeCell ref="B81:G82"/>
    <mergeCell ref="J81:N81"/>
    <mergeCell ref="J82:N82"/>
    <mergeCell ref="D44:R44"/>
  </mergeCells>
  <dataValidations count="10">
    <dataValidation type="list" allowBlank="1" showInputMessage="1" showErrorMessage="1" sqref="B54" xr:uid="{3B6374EB-110D-46D3-A433-D79004B515FD}">
      <formula1>Lifetime</formula1>
    </dataValidation>
    <dataValidation type="list" allowBlank="1" showInputMessage="1" showErrorMessage="1" sqref="B55" xr:uid="{CBBCD0F8-4BF4-49FF-B95A-E056721CD796}">
      <formula1>Construction</formula1>
    </dataValidation>
    <dataValidation type="list" allowBlank="1" showInputMessage="1" showErrorMessage="1" sqref="F46:F52" xr:uid="{8689CA99-364B-491B-BD5F-A2914F6DFD79}">
      <formula1>Currency</formula1>
    </dataValidation>
    <dataValidation type="list" allowBlank="1" showInputMessage="1" showErrorMessage="1" sqref="G46:G52" xr:uid="{4FD7CBA0-063C-495A-9009-112800455211}">
      <formula1>Year</formula1>
    </dataValidation>
    <dataValidation type="list" allowBlank="1" showInputMessage="1" showErrorMessage="1" sqref="H46:H52" xr:uid="{BC6A899E-D340-495F-9062-03D2253392B1}">
      <formula1>Location</formula1>
    </dataValidation>
    <dataValidation type="list" allowBlank="1" showInputMessage="1" showErrorMessage="1" sqref="I13:I43" xr:uid="{00ADB765-0F52-4940-A3A7-802A9D34F486}">
      <formula1>INDIRECT(IF($D13="Heat Exchanger",SUBSTITUTE($D13," ","")&amp;"_"&amp;SUBSTITUTE(SUBSTITUTE($E13,",","")," ","")&amp;"_Material",SUBSTITUTE($D13," ","")&amp;"_Material"))</formula1>
    </dataValidation>
    <dataValidation type="list" allowBlank="1" showInputMessage="1" showErrorMessage="1" sqref="E21" xr:uid="{A5F9477B-D6A2-42CD-AD9C-4CB5C0F4232B}">
      <formula1>INDIRECT(SUBSTITUTE($D22," ",""))</formula1>
    </dataValidation>
    <dataValidation type="list" allowBlank="1" showInputMessage="1" showErrorMessage="1" sqref="E8:E9" xr:uid="{48671A38-AD3B-49FA-AEF8-3989BC0C3D95}">
      <formula1>Case</formula1>
    </dataValidation>
    <dataValidation type="list" allowBlank="1" showInputMessage="1" showErrorMessage="1" sqref="E22:E43 E13:E20" xr:uid="{B1C47E42-EC79-4986-8050-F6D86BF92A8E}">
      <formula1>INDIRECT(SUBSTITUTE($D13," ",""))</formula1>
    </dataValidation>
    <dataValidation type="list" allowBlank="1" showInputMessage="1" showErrorMessage="1" sqref="D22:D43 D13:D20" xr:uid="{05C9FAC3-91F2-4259-9DBC-160973B54D21}">
      <formula1>Equipment</formula1>
    </dataValidation>
  </dataValidations>
  <hyperlinks>
    <hyperlink ref="AI49" r:id="rId1" tooltip="Persistent link using digital object identifier" xr:uid="{4C618829-BEA2-4929-AFBB-9E0354293163}"/>
  </hyperlinks>
  <pageMargins left="0.7" right="0.7" top="0.75" bottom="0.75" header="0.3" footer="0.3"/>
  <pageSetup paperSize="9" orientation="portrait" verticalDpi="1200" r:id="rId2"/>
  <ignoredErrors>
    <ignoredError sqref="S50:S51 T23:T44"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283649" r:id="rId5"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6"/>
    <tablePart r:id="rId7"/>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93E70-7A1A-407E-AE97-39C591BE06DB}">
  <sheetPr codeName="Hoja38"/>
  <dimension ref="A1:AJ69"/>
  <sheetViews>
    <sheetView showGridLines="0" zoomScale="40" zoomScaleNormal="40" workbookViewId="0">
      <selection activeCell="S37" sqref="S3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1102" t="s">
        <v>270</v>
      </c>
      <c r="D3" s="1103"/>
      <c r="E3" s="1103"/>
      <c r="F3" s="1104"/>
      <c r="G3" s="1102" t="s">
        <v>341</v>
      </c>
      <c r="H3" s="1104"/>
      <c r="J3" s="1102" t="s">
        <v>499</v>
      </c>
      <c r="K3" s="1103"/>
      <c r="L3" s="1103"/>
      <c r="M3" s="1104"/>
      <c r="O3" s="1102" t="str">
        <f>+E6</f>
        <v>CWT</v>
      </c>
      <c r="P3" s="1103"/>
      <c r="Q3" s="1103"/>
      <c r="R3" s="1103"/>
      <c r="S3" s="1104"/>
      <c r="T3" s="106"/>
      <c r="U3" s="104"/>
      <c r="V3" s="120"/>
      <c r="W3" s="1168" t="str">
        <f>+E6&amp;" Diagram"</f>
        <v>CWT Diagram</v>
      </c>
      <c r="X3" s="1169"/>
      <c r="Y3" s="1169"/>
      <c r="Z3" s="1169"/>
      <c r="AA3" s="1169"/>
      <c r="AB3" s="1169"/>
      <c r="AC3" s="1169"/>
      <c r="AD3" s="1169"/>
      <c r="AE3" s="1169"/>
      <c r="AF3" s="1169"/>
      <c r="AG3" s="1169"/>
      <c r="AH3" s="1170"/>
      <c r="AI3" s="113"/>
      <c r="AJ3" s="434"/>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4"/>
    </row>
    <row r="5" spans="1:36" ht="18.600000000000001" customHeight="1" x14ac:dyDescent="0.35">
      <c r="A5" s="83"/>
      <c r="B5" s="104"/>
      <c r="C5" s="105"/>
      <c r="D5" s="1116" t="s">
        <v>265</v>
      </c>
      <c r="E5" s="1117"/>
      <c r="F5" s="211"/>
      <c r="G5" s="1116" t="s">
        <v>267</v>
      </c>
      <c r="H5" s="1117"/>
      <c r="J5" s="734"/>
      <c r="K5" s="735"/>
      <c r="L5" s="214" t="s">
        <v>469</v>
      </c>
      <c r="M5" s="500" t="s">
        <v>503</v>
      </c>
      <c r="O5" s="1039" t="s">
        <v>579</v>
      </c>
      <c r="P5" s="1040"/>
      <c r="Q5" s="1040"/>
      <c r="R5" s="1040"/>
      <c r="S5" s="1041"/>
      <c r="T5" s="106"/>
      <c r="U5" s="104"/>
      <c r="V5" s="120"/>
      <c r="W5" s="120"/>
      <c r="X5" s="112"/>
      <c r="Y5" s="112"/>
      <c r="Z5" s="112"/>
      <c r="AA5" s="112"/>
      <c r="AB5" s="112"/>
      <c r="AC5" s="112"/>
      <c r="AD5" s="112"/>
      <c r="AE5" s="112"/>
      <c r="AF5" s="112"/>
      <c r="AG5" s="112"/>
      <c r="AH5" s="113"/>
      <c r="AI5" s="113"/>
      <c r="AJ5" s="434"/>
    </row>
    <row r="6" spans="1:36" ht="18.600000000000001" customHeight="1" x14ac:dyDescent="0.3">
      <c r="A6" s="83"/>
      <c r="B6" s="104"/>
      <c r="C6" s="1140" t="s">
        <v>495</v>
      </c>
      <c r="D6" s="589" t="s">
        <v>677</v>
      </c>
      <c r="E6" s="604" t="str">
        <f>+'Plant Overview'!V43</f>
        <v>CWT</v>
      </c>
      <c r="F6" s="212"/>
      <c r="G6" s="85"/>
      <c r="H6" s="395" t="s">
        <v>262</v>
      </c>
      <c r="J6" s="736"/>
      <c r="K6" s="737"/>
      <c r="L6" s="94" t="s">
        <v>470</v>
      </c>
      <c r="M6" s="86" t="s">
        <v>504</v>
      </c>
      <c r="O6" s="1107" t="str">
        <f>+'Plant Overview'!X43</f>
        <v>Heat Rejection Auxiliaries: Cooling water tower</v>
      </c>
      <c r="P6" s="1108"/>
      <c r="Q6" s="1108"/>
      <c r="R6" s="1108"/>
      <c r="S6" s="1109"/>
      <c r="T6" s="106"/>
      <c r="U6" s="104"/>
      <c r="V6" s="120"/>
      <c r="W6" s="120"/>
      <c r="X6" s="112"/>
      <c r="Y6" s="112"/>
      <c r="Z6" s="112"/>
      <c r="AA6" s="112"/>
      <c r="AB6" s="112"/>
      <c r="AC6" s="112"/>
      <c r="AD6" s="112"/>
      <c r="AE6" s="112"/>
      <c r="AF6" s="112"/>
      <c r="AG6" s="112"/>
      <c r="AH6" s="113"/>
      <c r="AI6" s="113"/>
      <c r="AJ6" s="434"/>
    </row>
    <row r="7" spans="1:36" ht="18.600000000000001" customHeight="1" x14ac:dyDescent="0.3">
      <c r="A7" s="83"/>
      <c r="B7" s="104"/>
      <c r="C7" s="1141"/>
      <c r="D7" s="589" t="s">
        <v>676</v>
      </c>
      <c r="E7" s="548" t="str">
        <f>+'Plant Overview'!W43</f>
        <v>U-700</v>
      </c>
      <c r="F7" s="212"/>
      <c r="G7" s="208"/>
      <c r="H7" s="395" t="s">
        <v>263</v>
      </c>
      <c r="J7" s="736"/>
      <c r="K7" s="737"/>
      <c r="L7" s="214" t="s">
        <v>464</v>
      </c>
      <c r="M7" s="500" t="s">
        <v>502</v>
      </c>
      <c r="O7" s="1110"/>
      <c r="P7" s="1111"/>
      <c r="Q7" s="1111"/>
      <c r="R7" s="1111"/>
      <c r="S7" s="1112"/>
      <c r="T7" s="106"/>
      <c r="U7" s="104"/>
      <c r="V7" s="120"/>
      <c r="W7" s="120"/>
      <c r="X7" s="112"/>
      <c r="Y7" s="112"/>
      <c r="Z7" s="112"/>
      <c r="AA7" s="112"/>
      <c r="AB7" s="112"/>
      <c r="AC7" s="112"/>
      <c r="AD7" s="112"/>
      <c r="AE7" s="112"/>
      <c r="AF7" s="112"/>
      <c r="AG7" s="112"/>
      <c r="AH7" s="113"/>
      <c r="AI7" s="113"/>
      <c r="AJ7" s="434"/>
    </row>
    <row r="8" spans="1:36" ht="18.600000000000001" customHeight="1" x14ac:dyDescent="0.3">
      <c r="A8" s="83"/>
      <c r="B8" s="104"/>
      <c r="C8" s="1222"/>
      <c r="D8" s="1223" t="s">
        <v>312</v>
      </c>
      <c r="E8" s="1159" t="s">
        <v>316</v>
      </c>
      <c r="F8" s="213"/>
      <c r="G8" s="95"/>
      <c r="H8" s="724" t="s">
        <v>264</v>
      </c>
      <c r="J8" s="736"/>
      <c r="K8" s="737"/>
      <c r="L8" s="214" t="s">
        <v>465</v>
      </c>
      <c r="M8" s="500" t="s">
        <v>500</v>
      </c>
      <c r="O8" s="1110"/>
      <c r="P8" s="1111"/>
      <c r="Q8" s="1111"/>
      <c r="R8" s="1111"/>
      <c r="S8" s="1112"/>
      <c r="T8" s="106"/>
      <c r="U8" s="104"/>
      <c r="V8" s="120"/>
      <c r="W8" s="120"/>
      <c r="X8" s="112"/>
      <c r="Y8" s="112"/>
      <c r="Z8" s="112"/>
      <c r="AA8" s="112"/>
      <c r="AB8" s="112"/>
      <c r="AC8" s="112"/>
      <c r="AD8" s="112"/>
      <c r="AE8" s="112"/>
      <c r="AF8" s="112"/>
      <c r="AG8" s="112"/>
      <c r="AH8" s="113"/>
      <c r="AI8" s="113"/>
      <c r="AJ8" s="434"/>
    </row>
    <row r="9" spans="1:36" ht="18.600000000000001" customHeight="1" x14ac:dyDescent="0.3">
      <c r="A9" s="83"/>
      <c r="B9" s="104"/>
      <c r="C9" s="1120"/>
      <c r="D9" s="1224"/>
      <c r="E9" s="1160"/>
      <c r="F9" s="213"/>
      <c r="G9" s="110"/>
      <c r="H9" s="726" t="s">
        <v>268</v>
      </c>
      <c r="J9" s="738"/>
      <c r="K9" s="739"/>
      <c r="L9" s="214" t="s">
        <v>466</v>
      </c>
      <c r="M9" s="500" t="s">
        <v>501</v>
      </c>
      <c r="O9" s="1113"/>
      <c r="P9" s="1114"/>
      <c r="Q9" s="1114"/>
      <c r="R9" s="1114"/>
      <c r="S9" s="1115"/>
      <c r="T9" s="106"/>
      <c r="U9" s="104"/>
      <c r="V9" s="120"/>
      <c r="W9" s="120"/>
      <c r="X9" s="112"/>
      <c r="Y9" s="112"/>
      <c r="Z9" s="112"/>
      <c r="AA9" s="112"/>
      <c r="AB9" s="112"/>
      <c r="AC9" s="112"/>
      <c r="AD9" s="112"/>
      <c r="AE9" s="112"/>
      <c r="AF9" s="112"/>
      <c r="AG9" s="112"/>
      <c r="AH9" s="113"/>
      <c r="AI9" s="113"/>
      <c r="AJ9" s="434"/>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4"/>
    </row>
    <row r="11" spans="1:36" ht="18.600000000000001" customHeight="1" x14ac:dyDescent="0.3">
      <c r="A11" s="83"/>
      <c r="B11" s="104"/>
      <c r="C11" s="105"/>
      <c r="D11" s="1102" t="s">
        <v>507</v>
      </c>
      <c r="E11" s="1103"/>
      <c r="F11" s="1103"/>
      <c r="G11" s="1103"/>
      <c r="H11" s="1103"/>
      <c r="I11" s="1103"/>
      <c r="J11" s="1103"/>
      <c r="K11" s="1102" t="s">
        <v>506</v>
      </c>
      <c r="L11" s="1103"/>
      <c r="M11" s="1103"/>
      <c r="N11" s="1103"/>
      <c r="O11" s="1104"/>
      <c r="P11" s="1102" t="s">
        <v>509</v>
      </c>
      <c r="Q11" s="1103"/>
      <c r="R11" s="1104"/>
      <c r="S11" s="105"/>
      <c r="T11" s="106"/>
      <c r="U11" s="104"/>
      <c r="V11" s="120"/>
      <c r="W11" s="120"/>
      <c r="X11" s="112"/>
      <c r="Y11" s="112"/>
      <c r="Z11" s="112"/>
      <c r="AA11" s="112"/>
      <c r="AB11" s="112"/>
      <c r="AC11" s="112"/>
      <c r="AD11" s="112"/>
      <c r="AE11" s="112"/>
      <c r="AF11" s="112"/>
      <c r="AG11" s="112"/>
      <c r="AH11" s="113"/>
      <c r="AI11" s="113"/>
      <c r="AJ11" s="434"/>
    </row>
    <row r="12" spans="1:36" ht="18.600000000000001" customHeight="1" x14ac:dyDescent="0.3">
      <c r="A12" s="83"/>
      <c r="B12" s="104"/>
      <c r="C12" s="728" t="s">
        <v>239</v>
      </c>
      <c r="D12" s="728" t="s">
        <v>498</v>
      </c>
      <c r="E12" s="728" t="s">
        <v>497</v>
      </c>
      <c r="F12" s="553" t="s">
        <v>463</v>
      </c>
      <c r="G12" s="553" t="s">
        <v>582</v>
      </c>
      <c r="H12" s="553" t="s">
        <v>508</v>
      </c>
      <c r="I12" s="728" t="s">
        <v>505</v>
      </c>
      <c r="J12" s="728" t="s">
        <v>235</v>
      </c>
      <c r="K12" s="538" t="s">
        <v>465</v>
      </c>
      <c r="L12" s="728" t="s">
        <v>466</v>
      </c>
      <c r="M12" s="545" t="s">
        <v>585</v>
      </c>
      <c r="N12" s="546" t="s">
        <v>468</v>
      </c>
      <c r="O12" s="542" t="s">
        <v>467</v>
      </c>
      <c r="P12" s="538" t="s">
        <v>464</v>
      </c>
      <c r="Q12" s="538" t="s">
        <v>470</v>
      </c>
      <c r="R12" s="589" t="s">
        <v>469</v>
      </c>
      <c r="S12" s="589" t="s">
        <v>496</v>
      </c>
      <c r="T12" s="106"/>
      <c r="U12" s="104"/>
      <c r="V12" s="120"/>
      <c r="W12" s="120"/>
      <c r="X12" s="112"/>
      <c r="Y12" s="112"/>
      <c r="Z12" s="112"/>
      <c r="AA12" s="112"/>
      <c r="AB12" s="112"/>
      <c r="AC12" s="112"/>
      <c r="AD12" s="112"/>
      <c r="AE12" s="112"/>
      <c r="AF12" s="112"/>
      <c r="AG12" s="112"/>
      <c r="AH12" s="113"/>
      <c r="AI12" s="113"/>
      <c r="AJ12" s="434"/>
    </row>
    <row r="13" spans="1:36" ht="18.600000000000001" customHeight="1" x14ac:dyDescent="0.3">
      <c r="A13" s="83"/>
      <c r="B13" s="104"/>
      <c r="C13" s="439" t="s">
        <v>1023</v>
      </c>
      <c r="D13" s="716" t="s">
        <v>349</v>
      </c>
      <c r="E13" s="717" t="str">
        <f>+I65</f>
        <v>CWT Cost</v>
      </c>
      <c r="F13" s="717" t="s">
        <v>486</v>
      </c>
      <c r="G13" s="717">
        <v>2020</v>
      </c>
      <c r="H13" s="717" t="s">
        <v>477</v>
      </c>
      <c r="I13" s="717" t="s">
        <v>802</v>
      </c>
      <c r="J13" s="718" t="s">
        <v>351</v>
      </c>
      <c r="K13" s="717">
        <v>1</v>
      </c>
      <c r="L13" s="720">
        <v>1</v>
      </c>
      <c r="M13" s="717">
        <v>1</v>
      </c>
      <c r="N13" s="219">
        <v>1</v>
      </c>
      <c r="O13" s="222">
        <v>3.1700646282</v>
      </c>
      <c r="P13" s="221">
        <v>1</v>
      </c>
      <c r="Q13" s="219">
        <v>0.22427281845536609</v>
      </c>
      <c r="R13" s="392">
        <f>+IF(C13="","",(P13/M13)^K13*O13*(Q13/(N13/M13))^L13)</f>
        <v>0.71095932885207624</v>
      </c>
      <c r="S13" s="196" cm="1">
        <f t="array" aca="1" ref="S13" ca="1">+IF(R13="","",R13*INDIRECT(ADDRESS(MATCH(G13,'Cost Conversion'!$B$3:$B$48,0)+2,4,1,1,"Cost conversion"))*INDIRECT(ADDRESS(MATCH(H13,'Cost Conversion'!$F$3:$F$22,0)+2,8,1,1,"Cost conversion"))/IF(F13="$",'Cost Conversion'!$L$2,1))</f>
        <v>0.71095932885207624</v>
      </c>
      <c r="T13" s="106"/>
      <c r="U13" s="104"/>
      <c r="V13" s="120"/>
      <c r="W13" s="120"/>
      <c r="X13" s="112"/>
      <c r="Y13" s="112"/>
      <c r="Z13" s="112"/>
      <c r="AA13" s="112"/>
      <c r="AB13" s="112"/>
      <c r="AC13" s="112"/>
      <c r="AD13" s="112"/>
      <c r="AE13" s="112"/>
      <c r="AF13" s="112"/>
      <c r="AG13" s="112"/>
      <c r="AH13" s="113"/>
      <c r="AI13" s="113"/>
      <c r="AJ13" s="434"/>
    </row>
    <row r="14" spans="1:36" ht="18.600000000000001" customHeight="1" x14ac:dyDescent="0.3">
      <c r="A14" s="83"/>
      <c r="B14" s="104"/>
      <c r="C14" s="440"/>
      <c r="D14" s="719"/>
      <c r="E14" s="720"/>
      <c r="F14" s="720"/>
      <c r="G14" s="720"/>
      <c r="H14" s="720"/>
      <c r="I14" s="720"/>
      <c r="J14" s="721"/>
      <c r="K14" s="720"/>
      <c r="L14" s="720"/>
      <c r="M14" s="720"/>
      <c r="N14" s="392"/>
      <c r="O14" s="392"/>
      <c r="P14" s="172"/>
      <c r="Q14" s="720"/>
      <c r="R14" s="392" t="str">
        <f>+IF(C14="","",(P14/M14)^K14*O14*(Q14/(N14/M14))^L14)</f>
        <v/>
      </c>
      <c r="S14" s="196"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4"/>
    </row>
    <row r="15" spans="1:36" ht="18.600000000000001" customHeight="1" x14ac:dyDescent="0.3">
      <c r="A15" s="83"/>
      <c r="B15" s="104"/>
      <c r="C15" s="440"/>
      <c r="D15" s="719"/>
      <c r="E15" s="720"/>
      <c r="F15" s="720"/>
      <c r="G15" s="720"/>
      <c r="H15" s="720"/>
      <c r="I15" s="720"/>
      <c r="J15" s="721"/>
      <c r="K15" s="720"/>
      <c r="L15" s="720"/>
      <c r="M15" s="720"/>
      <c r="N15" s="392"/>
      <c r="O15" s="720"/>
      <c r="P15" s="719"/>
      <c r="Q15" s="720"/>
      <c r="R15" s="392" t="str">
        <f t="shared" ref="R15:R34" si="0">+IF(C15="","",(P15/M15)^K15*O15*(Q15/(N15/M15))^L15)</f>
        <v/>
      </c>
      <c r="S15" s="196"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4"/>
    </row>
    <row r="16" spans="1:36" ht="18.600000000000001" customHeight="1" x14ac:dyDescent="0.3">
      <c r="A16" s="83"/>
      <c r="B16" s="104"/>
      <c r="C16" s="440"/>
      <c r="D16" s="719"/>
      <c r="E16" s="720"/>
      <c r="F16" s="720"/>
      <c r="G16" s="720"/>
      <c r="H16" s="720"/>
      <c r="I16" s="720"/>
      <c r="J16" s="721"/>
      <c r="K16" s="720"/>
      <c r="L16" s="720"/>
      <c r="M16" s="720"/>
      <c r="N16" s="92"/>
      <c r="O16" s="720"/>
      <c r="P16" s="719"/>
      <c r="Q16" s="720"/>
      <c r="R16" s="392" t="str">
        <f t="shared" si="0"/>
        <v/>
      </c>
      <c r="S16" s="196"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4"/>
    </row>
    <row r="17" spans="1:36" ht="18.600000000000001" customHeight="1" x14ac:dyDescent="0.3">
      <c r="A17" s="83"/>
      <c r="B17" s="104"/>
      <c r="C17" s="440"/>
      <c r="D17" s="719"/>
      <c r="E17" s="720"/>
      <c r="F17" s="720"/>
      <c r="G17" s="720"/>
      <c r="H17" s="720"/>
      <c r="I17" s="720"/>
      <c r="J17" s="721"/>
      <c r="K17" s="92"/>
      <c r="L17" s="92"/>
      <c r="M17" s="720"/>
      <c r="N17" s="92"/>
      <c r="O17" s="92"/>
      <c r="P17" s="91"/>
      <c r="Q17" s="720"/>
      <c r="R17" s="392" t="str">
        <f t="shared" si="0"/>
        <v/>
      </c>
      <c r="S17" s="196"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4"/>
    </row>
    <row r="18" spans="1:36" ht="18.600000000000001" customHeight="1" x14ac:dyDescent="0.3">
      <c r="A18" s="83"/>
      <c r="B18" s="104"/>
      <c r="C18" s="440"/>
      <c r="D18" s="719"/>
      <c r="E18" s="720"/>
      <c r="F18" s="720"/>
      <c r="G18" s="720"/>
      <c r="H18" s="720"/>
      <c r="I18" s="720"/>
      <c r="J18" s="721"/>
      <c r="K18" s="92"/>
      <c r="L18" s="92"/>
      <c r="M18" s="720"/>
      <c r="N18" s="92"/>
      <c r="O18" s="720"/>
      <c r="P18" s="719"/>
      <c r="Q18" s="720"/>
      <c r="R18" s="392" t="str">
        <f t="shared" si="0"/>
        <v/>
      </c>
      <c r="S18" s="196"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4"/>
    </row>
    <row r="19" spans="1:36" ht="18.600000000000001" customHeight="1" x14ac:dyDescent="0.3">
      <c r="A19" s="83"/>
      <c r="B19" s="104"/>
      <c r="C19" s="440"/>
      <c r="D19" s="719"/>
      <c r="E19" s="720"/>
      <c r="F19" s="720"/>
      <c r="G19" s="720"/>
      <c r="H19" s="720"/>
      <c r="I19" s="720"/>
      <c r="J19" s="721"/>
      <c r="K19" s="92"/>
      <c r="L19" s="92"/>
      <c r="M19" s="720"/>
      <c r="N19" s="720"/>
      <c r="O19" s="720"/>
      <c r="P19" s="719"/>
      <c r="Q19" s="720"/>
      <c r="R19" s="392" t="str">
        <f t="shared" si="0"/>
        <v/>
      </c>
      <c r="S19" s="196"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4"/>
    </row>
    <row r="20" spans="1:36" ht="18.600000000000001" customHeight="1" x14ac:dyDescent="0.3">
      <c r="A20" s="83"/>
      <c r="B20" s="104"/>
      <c r="C20" s="440"/>
      <c r="D20" s="719"/>
      <c r="E20" s="720"/>
      <c r="F20" s="720"/>
      <c r="G20" s="720"/>
      <c r="H20" s="720"/>
      <c r="I20" s="720"/>
      <c r="J20" s="721"/>
      <c r="K20" s="92"/>
      <c r="L20" s="92"/>
      <c r="M20" s="720"/>
      <c r="N20" s="720"/>
      <c r="O20" s="720"/>
      <c r="P20" s="719"/>
      <c r="Q20" s="720"/>
      <c r="R20" s="392" t="str">
        <f t="shared" si="0"/>
        <v/>
      </c>
      <c r="S20" s="196"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4"/>
    </row>
    <row r="21" spans="1:36" ht="18.600000000000001" customHeight="1" x14ac:dyDescent="0.3">
      <c r="A21" s="83"/>
      <c r="B21" s="104"/>
      <c r="C21" s="440"/>
      <c r="D21" s="91"/>
      <c r="E21" s="720"/>
      <c r="F21" s="720"/>
      <c r="G21" s="720"/>
      <c r="H21" s="720"/>
      <c r="I21" s="720"/>
      <c r="J21" s="721"/>
      <c r="K21" s="720"/>
      <c r="L21" s="720"/>
      <c r="M21" s="720"/>
      <c r="N21" s="720"/>
      <c r="O21" s="720"/>
      <c r="P21" s="719"/>
      <c r="Q21" s="720"/>
      <c r="R21" s="392" t="str">
        <f t="shared" si="0"/>
        <v/>
      </c>
      <c r="S21" s="196"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4"/>
    </row>
    <row r="22" spans="1:36" ht="18.600000000000001" customHeight="1" x14ac:dyDescent="0.3">
      <c r="A22" s="83"/>
      <c r="B22" s="104"/>
      <c r="C22" s="440"/>
      <c r="D22" s="719"/>
      <c r="E22" s="720"/>
      <c r="F22" s="720"/>
      <c r="G22" s="720"/>
      <c r="H22" s="720"/>
      <c r="I22" s="720"/>
      <c r="J22" s="721"/>
      <c r="K22" s="720"/>
      <c r="L22" s="720"/>
      <c r="M22" s="720"/>
      <c r="N22" s="720"/>
      <c r="O22" s="720"/>
      <c r="P22" s="719"/>
      <c r="Q22" s="720"/>
      <c r="R22" s="392" t="str">
        <f t="shared" si="0"/>
        <v/>
      </c>
      <c r="S22" s="196"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4"/>
    </row>
    <row r="23" spans="1:36" ht="18.600000000000001" customHeight="1" x14ac:dyDescent="0.3">
      <c r="A23" s="83"/>
      <c r="B23" s="104"/>
      <c r="C23" s="440"/>
      <c r="D23" s="719"/>
      <c r="E23" s="720"/>
      <c r="F23" s="720"/>
      <c r="G23" s="720"/>
      <c r="H23" s="720"/>
      <c r="I23" s="720"/>
      <c r="J23" s="721"/>
      <c r="K23" s="720"/>
      <c r="L23" s="720"/>
      <c r="M23" s="720"/>
      <c r="N23" s="720"/>
      <c r="O23" s="720"/>
      <c r="P23" s="719"/>
      <c r="Q23" s="720"/>
      <c r="R23" s="392" t="str">
        <f t="shared" si="0"/>
        <v/>
      </c>
      <c r="S23" s="196"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4"/>
    </row>
    <row r="24" spans="1:36" ht="18.600000000000001" customHeight="1" x14ac:dyDescent="0.3">
      <c r="A24" s="83"/>
      <c r="B24" s="104"/>
      <c r="C24" s="440"/>
      <c r="D24" s="719"/>
      <c r="E24" s="720"/>
      <c r="F24" s="720"/>
      <c r="G24" s="720"/>
      <c r="H24" s="720"/>
      <c r="I24" s="720"/>
      <c r="J24" s="721"/>
      <c r="K24" s="720"/>
      <c r="L24" s="720"/>
      <c r="M24" s="720"/>
      <c r="N24" s="720"/>
      <c r="O24" s="720"/>
      <c r="P24" s="719"/>
      <c r="Q24" s="720"/>
      <c r="R24" s="392" t="str">
        <f t="shared" si="0"/>
        <v/>
      </c>
      <c r="S24" s="196"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4"/>
    </row>
    <row r="25" spans="1:36" ht="18.600000000000001" customHeight="1" x14ac:dyDescent="0.3">
      <c r="A25" s="83"/>
      <c r="B25" s="104"/>
      <c r="C25" s="440"/>
      <c r="D25" s="719"/>
      <c r="E25" s="720"/>
      <c r="F25" s="720"/>
      <c r="G25" s="720"/>
      <c r="H25" s="720"/>
      <c r="I25" s="720"/>
      <c r="J25" s="721"/>
      <c r="K25" s="720"/>
      <c r="L25" s="720"/>
      <c r="M25" s="720"/>
      <c r="N25" s="720"/>
      <c r="O25" s="720"/>
      <c r="P25" s="719"/>
      <c r="Q25" s="720"/>
      <c r="R25" s="392" t="str">
        <f t="shared" si="0"/>
        <v/>
      </c>
      <c r="S25" s="196"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4"/>
    </row>
    <row r="26" spans="1:36" ht="18.600000000000001" customHeight="1" x14ac:dyDescent="0.3">
      <c r="A26" s="83"/>
      <c r="B26" s="104"/>
      <c r="C26" s="440"/>
      <c r="D26" s="719"/>
      <c r="E26" s="720"/>
      <c r="F26" s="720"/>
      <c r="G26" s="720"/>
      <c r="H26" s="720"/>
      <c r="I26" s="720"/>
      <c r="J26" s="721"/>
      <c r="K26" s="720"/>
      <c r="L26" s="720"/>
      <c r="M26" s="720"/>
      <c r="N26" s="720"/>
      <c r="O26" s="720"/>
      <c r="P26" s="719"/>
      <c r="Q26" s="720"/>
      <c r="R26" s="392" t="str">
        <f t="shared" si="0"/>
        <v/>
      </c>
      <c r="S26" s="196"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4"/>
    </row>
    <row r="27" spans="1:36" ht="18.600000000000001" customHeight="1" x14ac:dyDescent="0.3">
      <c r="A27" s="83"/>
      <c r="B27" s="104"/>
      <c r="C27" s="410"/>
      <c r="D27" s="398"/>
      <c r="E27" s="210"/>
      <c r="F27" s="210"/>
      <c r="G27" s="210"/>
      <c r="H27" s="210"/>
      <c r="I27" s="210"/>
      <c r="J27" s="381"/>
      <c r="K27" s="210"/>
      <c r="L27" s="210"/>
      <c r="M27" s="210"/>
      <c r="N27" s="210"/>
      <c r="O27" s="210"/>
      <c r="P27" s="398"/>
      <c r="Q27" s="210"/>
      <c r="R27" s="392" t="str">
        <f t="shared" si="0"/>
        <v/>
      </c>
      <c r="S27" s="196"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4"/>
    </row>
    <row r="28" spans="1:36" ht="18.600000000000001" customHeight="1" x14ac:dyDescent="0.3">
      <c r="A28" s="83"/>
      <c r="B28" s="104"/>
      <c r="C28" s="410"/>
      <c r="D28" s="398"/>
      <c r="E28" s="210"/>
      <c r="F28" s="210"/>
      <c r="G28" s="210"/>
      <c r="H28" s="210"/>
      <c r="I28" s="210"/>
      <c r="J28" s="381"/>
      <c r="K28" s="210"/>
      <c r="L28" s="210"/>
      <c r="M28" s="210"/>
      <c r="N28" s="210"/>
      <c r="O28" s="210"/>
      <c r="P28" s="398"/>
      <c r="Q28" s="210"/>
      <c r="R28" s="392" t="str">
        <f t="shared" si="0"/>
        <v/>
      </c>
      <c r="S28" s="196"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4"/>
    </row>
    <row r="29" spans="1:36" ht="18.600000000000001" customHeight="1" x14ac:dyDescent="0.3">
      <c r="A29" s="83"/>
      <c r="B29" s="104"/>
      <c r="C29" s="440"/>
      <c r="D29" s="719"/>
      <c r="E29" s="720"/>
      <c r="F29" s="720"/>
      <c r="G29" s="720"/>
      <c r="H29" s="720"/>
      <c r="I29" s="720"/>
      <c r="J29" s="721"/>
      <c r="K29" s="382"/>
      <c r="L29" s="382"/>
      <c r="M29" s="382"/>
      <c r="N29" s="382"/>
      <c r="O29" s="382"/>
      <c r="P29" s="806"/>
      <c r="Q29" s="725"/>
      <c r="R29" s="392" t="str">
        <f t="shared" si="0"/>
        <v/>
      </c>
      <c r="S29" s="196"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4"/>
    </row>
    <row r="30" spans="1:36" ht="18.600000000000001" customHeight="1" x14ac:dyDescent="0.3">
      <c r="A30" s="83"/>
      <c r="B30" s="104"/>
      <c r="C30" s="440"/>
      <c r="D30" s="719"/>
      <c r="E30" s="720"/>
      <c r="F30" s="720"/>
      <c r="G30" s="720"/>
      <c r="H30" s="720"/>
      <c r="I30" s="720"/>
      <c r="J30" s="721"/>
      <c r="K30" s="382"/>
      <c r="L30" s="382"/>
      <c r="M30" s="382"/>
      <c r="N30" s="382"/>
      <c r="O30" s="382"/>
      <c r="P30" s="806"/>
      <c r="Q30" s="725"/>
      <c r="R30" s="392" t="str">
        <f t="shared" si="0"/>
        <v/>
      </c>
      <c r="S30" s="196"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4"/>
    </row>
    <row r="31" spans="1:36" ht="18.600000000000001" customHeight="1" x14ac:dyDescent="0.3">
      <c r="A31" s="83"/>
      <c r="B31" s="104"/>
      <c r="C31" s="440"/>
      <c r="D31" s="719"/>
      <c r="E31" s="720"/>
      <c r="F31" s="720"/>
      <c r="G31" s="720"/>
      <c r="H31" s="720"/>
      <c r="I31" s="720"/>
      <c r="J31" s="721"/>
      <c r="K31" s="382"/>
      <c r="L31" s="382"/>
      <c r="M31" s="382"/>
      <c r="N31" s="382"/>
      <c r="O31" s="382"/>
      <c r="P31" s="806"/>
      <c r="Q31" s="725"/>
      <c r="R31" s="392" t="str">
        <f t="shared" si="0"/>
        <v/>
      </c>
      <c r="S31" s="196"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4"/>
    </row>
    <row r="32" spans="1:36" ht="18.600000000000001" customHeight="1" x14ac:dyDescent="0.3">
      <c r="A32" s="83"/>
      <c r="B32" s="104"/>
      <c r="C32" s="440"/>
      <c r="D32" s="719"/>
      <c r="E32" s="720"/>
      <c r="F32" s="720"/>
      <c r="G32" s="720"/>
      <c r="H32" s="720"/>
      <c r="I32" s="720"/>
      <c r="J32" s="721"/>
      <c r="K32" s="382"/>
      <c r="L32" s="382"/>
      <c r="M32" s="382"/>
      <c r="N32" s="382"/>
      <c r="O32" s="382"/>
      <c r="P32" s="806"/>
      <c r="Q32" s="725"/>
      <c r="R32" s="392" t="str">
        <f t="shared" si="0"/>
        <v/>
      </c>
      <c r="S32" s="196"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5"/>
    </row>
    <row r="33" spans="1:36" ht="18.600000000000001" customHeight="1" x14ac:dyDescent="0.3">
      <c r="A33" s="83"/>
      <c r="B33" s="104"/>
      <c r="C33" s="440"/>
      <c r="D33" s="719"/>
      <c r="E33" s="720"/>
      <c r="F33" s="720"/>
      <c r="G33" s="720"/>
      <c r="H33" s="720"/>
      <c r="I33" s="720"/>
      <c r="J33" s="721"/>
      <c r="K33" s="382"/>
      <c r="L33" s="382"/>
      <c r="M33" s="401"/>
      <c r="N33" s="401"/>
      <c r="O33" s="401"/>
      <c r="P33" s="402"/>
      <c r="Q33" s="167"/>
      <c r="R33" s="392" t="str">
        <f t="shared" si="0"/>
        <v/>
      </c>
      <c r="S33" s="196"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5"/>
    </row>
    <row r="34" spans="1:36" ht="18.600000000000001" customHeight="1" x14ac:dyDescent="0.3">
      <c r="A34" s="83"/>
      <c r="B34" s="104"/>
      <c r="C34" s="441"/>
      <c r="D34" s="400"/>
      <c r="E34" s="220"/>
      <c r="F34" s="220"/>
      <c r="G34" s="720"/>
      <c r="H34" s="720"/>
      <c r="I34" s="720"/>
      <c r="J34" s="721"/>
      <c r="K34" s="720"/>
      <c r="L34" s="92"/>
      <c r="M34" s="442"/>
      <c r="N34" s="442"/>
      <c r="O34" s="442"/>
      <c r="P34" s="1225"/>
      <c r="Q34" s="1226"/>
      <c r="R34" s="392" t="str">
        <f t="shared" si="0"/>
        <v/>
      </c>
      <c r="S34" s="196"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5"/>
    </row>
    <row r="35" spans="1:36" ht="18.600000000000001" customHeight="1" x14ac:dyDescent="0.3">
      <c r="A35" s="83"/>
      <c r="B35" s="104"/>
      <c r="C35" s="404"/>
      <c r="D35" s="405"/>
      <c r="E35" s="405"/>
      <c r="F35" s="405"/>
      <c r="G35" s="405"/>
      <c r="H35" s="405"/>
      <c r="I35" s="405"/>
      <c r="J35" s="405"/>
      <c r="K35" s="405"/>
      <c r="L35" s="405"/>
      <c r="M35" s="405"/>
      <c r="N35" s="405"/>
      <c r="O35" s="405"/>
      <c r="P35" s="405"/>
      <c r="Q35" s="405"/>
      <c r="R35" s="406"/>
      <c r="S35" s="589" t="s">
        <v>638</v>
      </c>
      <c r="T35" s="106"/>
      <c r="U35" s="105"/>
      <c r="V35" s="120"/>
      <c r="W35" s="120"/>
      <c r="X35" s="112"/>
      <c r="Y35" s="112"/>
      <c r="Z35" s="112"/>
      <c r="AA35" s="112"/>
      <c r="AB35" s="112"/>
      <c r="AC35" s="112"/>
      <c r="AD35" s="112"/>
      <c r="AE35" s="112"/>
      <c r="AF35" s="112"/>
      <c r="AG35" s="112"/>
      <c r="AH35" s="113"/>
      <c r="AI35" s="113"/>
      <c r="AJ35" s="435"/>
    </row>
    <row r="36" spans="1:36" ht="18.600000000000001" customHeight="1" x14ac:dyDescent="0.3">
      <c r="A36" s="83"/>
      <c r="B36" s="104"/>
      <c r="C36" s="407"/>
      <c r="D36" s="408"/>
      <c r="E36" s="408"/>
      <c r="F36" s="408"/>
      <c r="G36" s="408"/>
      <c r="H36" s="408"/>
      <c r="I36" s="408"/>
      <c r="J36" s="408"/>
      <c r="K36" s="408"/>
      <c r="L36" s="408"/>
      <c r="M36" s="408"/>
      <c r="N36" s="408"/>
      <c r="O36" s="408"/>
      <c r="P36" s="408"/>
      <c r="Q36" s="408"/>
      <c r="R36" s="409"/>
      <c r="S36" s="285">
        <f ca="1">IF(SUM(S13:S34)&gt;=0,SUM(S13:S34),"")</f>
        <v>0.71095932885207624</v>
      </c>
      <c r="T36" s="106"/>
      <c r="U36" s="105"/>
      <c r="V36" s="120"/>
      <c r="W36" s="121"/>
      <c r="X36" s="122"/>
      <c r="Y36" s="122"/>
      <c r="Z36" s="122"/>
      <c r="AA36" s="122"/>
      <c r="AB36" s="122"/>
      <c r="AC36" s="122"/>
      <c r="AD36" s="122"/>
      <c r="AE36" s="122"/>
      <c r="AF36" s="122"/>
      <c r="AG36" s="122"/>
      <c r="AH36" s="123"/>
      <c r="AI36" s="113"/>
      <c r="AJ36" s="435"/>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7"/>
      <c r="T37" s="109"/>
      <c r="U37" s="105"/>
      <c r="V37" s="121"/>
      <c r="W37" s="122"/>
      <c r="X37" s="122"/>
      <c r="Y37" s="122"/>
      <c r="Z37" s="122"/>
      <c r="AA37" s="122"/>
      <c r="AB37" s="122"/>
      <c r="AC37" s="122"/>
      <c r="AD37" s="122"/>
      <c r="AE37" s="122"/>
      <c r="AF37" s="122"/>
      <c r="AG37" s="122"/>
      <c r="AH37" s="122"/>
      <c r="AI37" s="123"/>
      <c r="AJ37" s="435"/>
    </row>
    <row r="38" spans="1:36" ht="18.600000000000001" customHeight="1" x14ac:dyDescent="0.3">
      <c r="A38" s="83"/>
      <c r="B38" s="83"/>
      <c r="C38" s="198"/>
      <c r="D38" s="198"/>
      <c r="E38" s="198"/>
      <c r="F38" s="198"/>
      <c r="G38" s="198"/>
      <c r="H38" s="198"/>
      <c r="I38" s="198"/>
      <c r="J38" s="198"/>
      <c r="K38" s="198"/>
      <c r="L38" s="198"/>
      <c r="M38" s="177"/>
      <c r="N38" s="198"/>
      <c r="O38" s="198"/>
      <c r="P38" s="198"/>
      <c r="Q38" s="198"/>
      <c r="S38" s="83"/>
      <c r="T38" s="83"/>
      <c r="U38" s="83"/>
      <c r="V38" s="105"/>
      <c r="W38" s="105"/>
      <c r="X38" s="105"/>
      <c r="Y38" s="105"/>
      <c r="Z38" s="105"/>
      <c r="AA38" s="105"/>
      <c r="AB38" s="105"/>
      <c r="AC38" s="105"/>
      <c r="AD38" s="105"/>
      <c r="AE38" s="105"/>
      <c r="AF38" s="105"/>
      <c r="AG38" s="105"/>
      <c r="AH38" s="105"/>
      <c r="AI38" s="105"/>
      <c r="AJ38" s="435"/>
    </row>
    <row r="39" spans="1:36" ht="18.600000000000001" customHeight="1" x14ac:dyDescent="0.3">
      <c r="A39" s="83"/>
      <c r="B39" s="1102" t="str">
        <f>+"BEC Distribution: "&amp;E6</f>
        <v>BEC Distribution: CWT</v>
      </c>
      <c r="C39" s="1103"/>
      <c r="D39" s="1103"/>
      <c r="E39" s="1103"/>
      <c r="F39" s="1103"/>
      <c r="G39" s="1102" t="str">
        <f>+"Estimate Benchmark: "&amp;E6</f>
        <v>Estimate Benchmark: CWT</v>
      </c>
      <c r="H39" s="1103"/>
      <c r="I39" s="1103"/>
      <c r="J39" s="1104"/>
      <c r="K39" s="1102" t="s">
        <v>633</v>
      </c>
      <c r="L39" s="1103"/>
      <c r="M39" s="1104"/>
      <c r="N39" s="177"/>
      <c r="O39" s="177"/>
      <c r="P39" s="177"/>
      <c r="Q39" s="198"/>
      <c r="R39" s="105"/>
      <c r="S39" s="105"/>
      <c r="T39" s="83"/>
      <c r="U39" s="83"/>
      <c r="V39" s="83"/>
      <c r="W39" s="83"/>
      <c r="X39" s="179"/>
      <c r="Y39" s="179"/>
      <c r="Z39" s="179"/>
      <c r="AA39" s="179"/>
      <c r="AB39" s="179"/>
      <c r="AC39" s="179"/>
      <c r="AD39" s="179"/>
      <c r="AE39" s="179"/>
      <c r="AF39" s="179"/>
      <c r="AG39" s="179"/>
      <c r="AH39" s="179"/>
      <c r="AI39" s="83"/>
      <c r="AJ39" s="434"/>
    </row>
    <row r="40" spans="1:36" ht="18.600000000000001" customHeight="1" x14ac:dyDescent="0.3">
      <c r="A40" s="83"/>
      <c r="B40" s="101"/>
      <c r="C40" s="347"/>
      <c r="D40" s="330"/>
      <c r="E40" s="330"/>
      <c r="F40" s="125"/>
      <c r="G40" s="351"/>
      <c r="H40" s="347"/>
      <c r="I40" s="347"/>
      <c r="J40" s="352"/>
      <c r="K40" s="540" t="s">
        <v>588</v>
      </c>
      <c r="L40" s="1039" t="s">
        <v>632</v>
      </c>
      <c r="M40" s="1041"/>
      <c r="N40" s="177"/>
      <c r="O40" s="177"/>
      <c r="P40" s="177"/>
      <c r="Q40" s="198"/>
      <c r="R40" s="199"/>
      <c r="S40" s="105"/>
      <c r="T40" s="83"/>
      <c r="U40" s="83"/>
      <c r="V40" s="83"/>
      <c r="W40" s="83"/>
      <c r="X40" s="179"/>
      <c r="Y40" s="179"/>
      <c r="Z40" s="179"/>
      <c r="AA40" s="179"/>
      <c r="AB40" s="179">
        <v>1995</v>
      </c>
      <c r="AC40" s="179">
        <v>381.1</v>
      </c>
      <c r="AD40" s="179">
        <v>1.5825242718446602</v>
      </c>
      <c r="AE40" s="179"/>
      <c r="AF40" s="179"/>
      <c r="AG40" s="179"/>
      <c r="AH40" s="179"/>
      <c r="AI40" s="83"/>
      <c r="AJ40" s="434"/>
    </row>
    <row r="41" spans="1:36" ht="18.600000000000001" customHeight="1" x14ac:dyDescent="0.3">
      <c r="A41" s="83"/>
      <c r="B41" s="104"/>
      <c r="C41" s="178"/>
      <c r="D41" s="92"/>
      <c r="E41" s="92"/>
      <c r="F41" s="84"/>
      <c r="G41" s="353"/>
      <c r="H41" s="178"/>
      <c r="I41" s="178"/>
      <c r="J41" s="348"/>
      <c r="K41" s="439" t="str">
        <f>+IF(C13="","",TEXT(C13,0))</f>
        <v>CWT-700</v>
      </c>
      <c r="L41" s="1221" t="s">
        <v>349</v>
      </c>
      <c r="M41" s="1221"/>
      <c r="N41" s="177"/>
      <c r="O41" s="177"/>
      <c r="P41" s="177"/>
      <c r="Q41" s="198"/>
      <c r="R41" s="411"/>
      <c r="S41" s="105"/>
      <c r="T41" s="83"/>
      <c r="U41" s="83"/>
      <c r="V41" s="83"/>
      <c r="W41" s="83"/>
      <c r="X41" s="179"/>
      <c r="Y41" s="179"/>
      <c r="Z41" s="179"/>
      <c r="AA41" s="179"/>
      <c r="AB41" s="179">
        <v>1996</v>
      </c>
      <c r="AC41" s="179">
        <v>381.7</v>
      </c>
      <c r="AD41" s="179">
        <v>1.5800366780193871</v>
      </c>
      <c r="AE41" s="179"/>
      <c r="AF41" s="179"/>
      <c r="AG41" s="179"/>
      <c r="AH41" s="179"/>
      <c r="AI41" s="83"/>
      <c r="AJ41" s="434"/>
    </row>
    <row r="42" spans="1:36" ht="18.600000000000001" customHeight="1" x14ac:dyDescent="0.3">
      <c r="A42" s="83"/>
      <c r="B42" s="104"/>
      <c r="C42" s="178"/>
      <c r="D42" s="92"/>
      <c r="E42" s="92"/>
      <c r="F42" s="84"/>
      <c r="G42" s="353"/>
      <c r="H42" s="178"/>
      <c r="I42" s="178"/>
      <c r="J42" s="178"/>
      <c r="K42" s="599"/>
      <c r="L42" s="1215"/>
      <c r="M42" s="1216"/>
      <c r="N42" s="177"/>
      <c r="O42" s="177"/>
      <c r="P42" s="177"/>
      <c r="Q42" s="198"/>
      <c r="R42" s="199"/>
      <c r="S42" s="105"/>
      <c r="T42" s="83"/>
      <c r="U42" s="83"/>
      <c r="V42" s="83"/>
      <c r="W42" s="83"/>
      <c r="X42" s="179"/>
      <c r="Y42" s="179"/>
      <c r="Z42" s="179"/>
      <c r="AA42" s="179"/>
      <c r="AB42" s="179">
        <v>1997</v>
      </c>
      <c r="AC42" s="179">
        <v>386.5</v>
      </c>
      <c r="AD42" s="179">
        <v>1.5604139715394567</v>
      </c>
      <c r="AE42" s="179"/>
      <c r="AF42" s="179"/>
      <c r="AG42" s="179"/>
      <c r="AH42" s="179"/>
      <c r="AI42" s="83"/>
      <c r="AJ42" s="434"/>
    </row>
    <row r="43" spans="1:36" ht="18.600000000000001" customHeight="1" x14ac:dyDescent="0.3">
      <c r="A43" s="83"/>
      <c r="B43" s="104"/>
      <c r="C43" s="178"/>
      <c r="D43" s="92"/>
      <c r="E43" s="92"/>
      <c r="F43" s="84"/>
      <c r="G43" s="353"/>
      <c r="H43" s="178"/>
      <c r="I43" s="178"/>
      <c r="J43" s="178"/>
      <c r="K43" s="600"/>
      <c r="L43" s="1217"/>
      <c r="M43" s="1218"/>
      <c r="N43" s="177"/>
      <c r="O43" s="177"/>
      <c r="P43" s="177"/>
      <c r="Q43" s="198"/>
      <c r="R43" s="198"/>
      <c r="S43" s="83"/>
      <c r="T43" s="83"/>
      <c r="U43" s="83"/>
      <c r="V43" s="83"/>
      <c r="W43" s="83"/>
      <c r="X43" s="179"/>
      <c r="Y43" s="179"/>
      <c r="Z43" s="179"/>
      <c r="AA43" s="179"/>
      <c r="AB43" s="179"/>
      <c r="AC43" s="179"/>
      <c r="AD43" s="179"/>
      <c r="AE43" s="179"/>
      <c r="AF43" s="179"/>
      <c r="AG43" s="179"/>
      <c r="AH43" s="179"/>
      <c r="AI43" s="83"/>
      <c r="AJ43" s="434"/>
    </row>
    <row r="44" spans="1:36" ht="18.600000000000001" customHeight="1" x14ac:dyDescent="0.3">
      <c r="A44" s="83"/>
      <c r="B44" s="104"/>
      <c r="C44" s="178"/>
      <c r="D44" s="92"/>
      <c r="E44" s="92"/>
      <c r="F44" s="84"/>
      <c r="G44" s="353"/>
      <c r="H44" s="178"/>
      <c r="I44" s="178"/>
      <c r="J44" s="178"/>
      <c r="K44" s="600"/>
      <c r="L44" s="1217"/>
      <c r="M44" s="1218"/>
      <c r="N44" s="177"/>
      <c r="O44" s="177"/>
      <c r="P44" s="177"/>
      <c r="Q44" s="198"/>
      <c r="R44" s="198"/>
      <c r="S44" s="83"/>
      <c r="T44" s="83"/>
      <c r="U44" s="83"/>
      <c r="V44" s="83"/>
      <c r="W44" s="83"/>
      <c r="X44" s="179"/>
      <c r="Y44" s="179"/>
      <c r="Z44" s="179"/>
      <c r="AA44" s="179"/>
      <c r="AB44" s="179">
        <v>1998</v>
      </c>
      <c r="AC44" s="179">
        <v>389.5</v>
      </c>
      <c r="AD44" s="179">
        <v>1.548395378690629</v>
      </c>
      <c r="AE44" s="179"/>
      <c r="AF44" s="179"/>
      <c r="AG44" s="179"/>
      <c r="AH44" s="179"/>
      <c r="AI44" s="83"/>
      <c r="AJ44" s="83"/>
    </row>
    <row r="45" spans="1:36" ht="18.600000000000001" customHeight="1" x14ac:dyDescent="0.3">
      <c r="A45" s="83"/>
      <c r="B45" s="104"/>
      <c r="C45" s="178"/>
      <c r="D45" s="92"/>
      <c r="E45" s="92"/>
      <c r="F45" s="84"/>
      <c r="G45" s="353"/>
      <c r="H45" s="178"/>
      <c r="I45" s="178"/>
      <c r="J45" s="178"/>
      <c r="K45" s="600"/>
      <c r="L45" s="382"/>
      <c r="M45" s="348"/>
      <c r="N45" s="177"/>
      <c r="O45" s="177"/>
      <c r="P45" s="177"/>
      <c r="Q45" s="198"/>
      <c r="R45" s="198"/>
      <c r="S45" s="83"/>
      <c r="T45" s="83"/>
      <c r="U45" s="83"/>
      <c r="V45" s="83"/>
      <c r="W45" s="83"/>
      <c r="X45" s="179"/>
      <c r="Y45" s="179"/>
      <c r="Z45" s="179"/>
      <c r="AA45" s="179"/>
      <c r="AB45" s="179">
        <v>1999</v>
      </c>
      <c r="AC45" s="179">
        <v>390.6</v>
      </c>
      <c r="AD45" s="179">
        <v>1.5440348182283665</v>
      </c>
      <c r="AE45" s="179"/>
      <c r="AF45" s="179"/>
      <c r="AG45" s="179"/>
      <c r="AH45" s="179"/>
      <c r="AI45" s="83"/>
      <c r="AJ45" s="83"/>
    </row>
    <row r="46" spans="1:36" ht="18.600000000000001" customHeight="1" x14ac:dyDescent="0.3">
      <c r="A46" s="83"/>
      <c r="B46" s="104"/>
      <c r="C46" s="178"/>
      <c r="D46" s="92"/>
      <c r="E46" s="92"/>
      <c r="F46" s="84"/>
      <c r="G46" s="353"/>
      <c r="H46" s="178"/>
      <c r="I46" s="178"/>
      <c r="J46" s="178"/>
      <c r="K46" s="600"/>
      <c r="L46" s="382"/>
      <c r="M46" s="348"/>
      <c r="N46" s="177"/>
      <c r="O46" s="177"/>
      <c r="P46" s="177"/>
      <c r="Q46" s="198"/>
      <c r="R46" s="198"/>
      <c r="S46" s="83"/>
      <c r="T46" s="83"/>
      <c r="U46" s="83"/>
      <c r="V46" s="83"/>
      <c r="W46" s="83"/>
      <c r="X46" s="179"/>
      <c r="Y46" s="179"/>
      <c r="Z46" s="179"/>
      <c r="AA46" s="179"/>
      <c r="AB46" s="179">
        <v>2000</v>
      </c>
      <c r="AC46" s="179">
        <v>394.1</v>
      </c>
      <c r="AD46" s="179">
        <v>1.5303222532352194</v>
      </c>
      <c r="AE46" s="179"/>
      <c r="AF46" s="179"/>
      <c r="AG46" s="179"/>
      <c r="AH46" s="179"/>
      <c r="AI46" s="83"/>
      <c r="AJ46" s="83"/>
    </row>
    <row r="47" spans="1:36" ht="18.600000000000001" customHeight="1" x14ac:dyDescent="0.3">
      <c r="A47" s="83"/>
      <c r="B47" s="104"/>
      <c r="C47" s="178"/>
      <c r="D47" s="92"/>
      <c r="E47" s="92"/>
      <c r="F47" s="84"/>
      <c r="G47" s="353"/>
      <c r="H47" s="178"/>
      <c r="I47" s="178"/>
      <c r="J47" s="178"/>
      <c r="K47" s="600" t="str">
        <f>+IF(C19="","",TEXT(C19,0))</f>
        <v/>
      </c>
      <c r="L47" s="382"/>
      <c r="M47" s="348"/>
      <c r="N47" s="177"/>
      <c r="O47" s="177"/>
      <c r="P47" s="177"/>
      <c r="Q47" s="198"/>
      <c r="R47" s="198"/>
      <c r="S47" s="83"/>
      <c r="T47" s="83"/>
      <c r="U47" s="83"/>
      <c r="V47" s="83"/>
      <c r="W47" s="83"/>
      <c r="X47" s="179"/>
      <c r="Y47" s="179"/>
      <c r="Z47" s="179"/>
      <c r="AA47" s="179"/>
      <c r="AB47" s="179">
        <v>2001</v>
      </c>
      <c r="AC47" s="179">
        <v>394.3</v>
      </c>
      <c r="AD47" s="179">
        <v>1.5295460309409079</v>
      </c>
      <c r="AE47" s="179"/>
      <c r="AF47" s="179"/>
      <c r="AG47" s="179"/>
      <c r="AH47" s="179"/>
      <c r="AI47" s="83"/>
      <c r="AJ47" s="83"/>
    </row>
    <row r="48" spans="1:36" ht="18.600000000000001" customHeight="1" x14ac:dyDescent="0.3">
      <c r="A48" s="83"/>
      <c r="B48" s="104"/>
      <c r="C48" s="178"/>
      <c r="D48" s="92"/>
      <c r="E48" s="92"/>
      <c r="F48" s="84"/>
      <c r="G48" s="353"/>
      <c r="H48" s="178"/>
      <c r="I48" s="178"/>
      <c r="J48" s="178"/>
      <c r="K48" s="600"/>
      <c r="L48" s="382"/>
      <c r="M48" s="348"/>
      <c r="N48" s="177"/>
      <c r="O48" s="177"/>
      <c r="P48" s="177"/>
      <c r="Q48" s="198"/>
      <c r="R48" s="198"/>
      <c r="S48" s="83"/>
      <c r="T48" s="83"/>
      <c r="U48" s="83"/>
      <c r="V48" s="83"/>
      <c r="W48" s="83"/>
      <c r="X48" s="179"/>
      <c r="Y48" s="179"/>
      <c r="Z48" s="179"/>
      <c r="AA48" s="179"/>
      <c r="AB48" s="179">
        <v>2002</v>
      </c>
      <c r="AC48" s="179">
        <v>395.6</v>
      </c>
      <c r="AD48" s="179">
        <v>1.5245197168857432</v>
      </c>
      <c r="AE48" s="179"/>
      <c r="AF48" s="179"/>
      <c r="AG48" s="179"/>
      <c r="AH48" s="179"/>
      <c r="AI48" s="83"/>
      <c r="AJ48" s="83"/>
    </row>
    <row r="49" spans="1:36" ht="18.600000000000001" customHeight="1" x14ac:dyDescent="0.3">
      <c r="A49" s="83"/>
      <c r="B49" s="104"/>
      <c r="C49" s="178"/>
      <c r="D49" s="92"/>
      <c r="E49" s="92"/>
      <c r="F49" s="84"/>
      <c r="G49" s="353"/>
      <c r="H49" s="178"/>
      <c r="I49" s="178"/>
      <c r="J49" s="178"/>
      <c r="K49" s="600"/>
      <c r="L49" s="382"/>
      <c r="M49" s="348"/>
      <c r="N49" s="177"/>
      <c r="O49" s="177"/>
      <c r="P49" s="177"/>
      <c r="Q49" s="198"/>
      <c r="R49" s="198"/>
      <c r="S49" s="83"/>
      <c r="T49" s="83"/>
      <c r="U49" s="83"/>
      <c r="V49" s="83"/>
      <c r="W49" s="83"/>
      <c r="X49" s="179"/>
      <c r="Y49" s="179"/>
      <c r="Z49" s="179"/>
      <c r="AA49" s="179"/>
      <c r="AB49" s="179">
        <v>2003</v>
      </c>
      <c r="AC49" s="179">
        <v>402</v>
      </c>
      <c r="AD49" s="179">
        <v>1.5002487562189055</v>
      </c>
      <c r="AE49" s="179"/>
      <c r="AF49" s="179"/>
      <c r="AG49" s="179"/>
      <c r="AH49" s="179"/>
      <c r="AI49" s="83"/>
      <c r="AJ49" s="83"/>
    </row>
    <row r="50" spans="1:36" ht="18.600000000000001" customHeight="1" x14ac:dyDescent="0.3">
      <c r="A50" s="83"/>
      <c r="B50" s="104"/>
      <c r="C50" s="178"/>
      <c r="D50" s="92"/>
      <c r="E50" s="92"/>
      <c r="F50" s="84"/>
      <c r="G50" s="353"/>
      <c r="H50" s="178"/>
      <c r="I50" s="178"/>
      <c r="J50" s="178"/>
      <c r="K50" s="600"/>
      <c r="L50" s="382"/>
      <c r="M50" s="348"/>
      <c r="N50" s="177"/>
      <c r="O50" s="177"/>
      <c r="P50" s="177"/>
      <c r="Q50" s="198"/>
      <c r="R50" s="198"/>
      <c r="S50" s="83"/>
      <c r="T50" s="83"/>
      <c r="U50" s="83"/>
      <c r="V50" s="83"/>
      <c r="W50" s="83"/>
      <c r="X50" s="179"/>
      <c r="Y50" s="179"/>
      <c r="Z50" s="179"/>
      <c r="AA50" s="179"/>
      <c r="AB50" s="179">
        <v>2004</v>
      </c>
      <c r="AC50" s="179">
        <v>444.2</v>
      </c>
      <c r="AD50" s="179">
        <v>1.3577217469608285</v>
      </c>
      <c r="AE50" s="179"/>
      <c r="AF50" s="179"/>
      <c r="AG50" s="179"/>
      <c r="AH50" s="179"/>
      <c r="AI50" s="83"/>
      <c r="AJ50" s="83"/>
    </row>
    <row r="51" spans="1:36" ht="18.600000000000001" customHeight="1" x14ac:dyDescent="0.3">
      <c r="A51" s="83"/>
      <c r="B51" s="104"/>
      <c r="C51" s="178"/>
      <c r="D51" s="92"/>
      <c r="E51" s="92"/>
      <c r="F51" s="84"/>
      <c r="G51" s="353"/>
      <c r="H51" s="178"/>
      <c r="I51" s="178"/>
      <c r="J51" s="178"/>
      <c r="K51" s="600"/>
      <c r="L51" s="382"/>
      <c r="M51" s="348"/>
      <c r="N51" s="177"/>
      <c r="O51" s="177"/>
      <c r="P51" s="177"/>
      <c r="Q51" s="198"/>
      <c r="R51" s="198"/>
      <c r="S51" s="83"/>
      <c r="T51" s="83"/>
      <c r="U51" s="83"/>
      <c r="V51" s="83"/>
      <c r="W51" s="83"/>
      <c r="X51" s="179"/>
      <c r="Y51" s="179"/>
      <c r="Z51" s="179"/>
      <c r="AA51" s="179"/>
      <c r="AB51" s="179">
        <v>2005</v>
      </c>
      <c r="AC51" s="179">
        <v>468.2</v>
      </c>
      <c r="AD51" s="179">
        <v>1.2881247330200769</v>
      </c>
      <c r="AE51" s="179"/>
      <c r="AF51" s="179"/>
      <c r="AG51" s="179"/>
      <c r="AH51" s="179"/>
      <c r="AI51" s="83"/>
      <c r="AJ51" s="83"/>
    </row>
    <row r="52" spans="1:36" ht="18.600000000000001" customHeight="1" x14ac:dyDescent="0.3">
      <c r="A52" s="83"/>
      <c r="B52" s="104"/>
      <c r="C52" s="178"/>
      <c r="D52" s="92"/>
      <c r="E52" s="92"/>
      <c r="F52" s="84"/>
      <c r="G52" s="353"/>
      <c r="H52" s="178"/>
      <c r="I52" s="178"/>
      <c r="J52" s="178"/>
      <c r="K52" s="600"/>
      <c r="L52" s="382"/>
      <c r="M52" s="348"/>
      <c r="N52" s="177"/>
      <c r="O52" s="177"/>
      <c r="P52" s="177"/>
      <c r="Q52" s="198"/>
      <c r="R52" s="198"/>
      <c r="S52" s="83"/>
      <c r="T52" s="83"/>
      <c r="U52" s="83"/>
      <c r="V52" s="83"/>
      <c r="W52" s="83"/>
      <c r="X52" s="179"/>
      <c r="Y52" s="179"/>
      <c r="Z52" s="179"/>
      <c r="AA52" s="179"/>
      <c r="AB52" s="179"/>
      <c r="AC52" s="179"/>
      <c r="AD52" s="179"/>
      <c r="AE52" s="179"/>
      <c r="AF52" s="179"/>
      <c r="AG52" s="179"/>
      <c r="AH52" s="179"/>
      <c r="AI52" s="83"/>
      <c r="AJ52" s="83"/>
    </row>
    <row r="53" spans="1:36" ht="18.600000000000001" customHeight="1" x14ac:dyDescent="0.3">
      <c r="A53" s="83"/>
      <c r="B53" s="104"/>
      <c r="C53" s="178"/>
      <c r="D53" s="92"/>
      <c r="E53" s="92"/>
      <c r="F53" s="84"/>
      <c r="G53" s="353"/>
      <c r="H53" s="178"/>
      <c r="I53" s="178"/>
      <c r="J53" s="178"/>
      <c r="K53" s="601"/>
      <c r="L53" s="382"/>
      <c r="M53" s="348"/>
      <c r="N53" s="177"/>
      <c r="O53" s="177"/>
      <c r="P53" s="177"/>
      <c r="Q53" s="198"/>
      <c r="R53" s="198"/>
      <c r="S53" s="83"/>
      <c r="T53" s="83"/>
      <c r="U53" s="83"/>
      <c r="V53" s="83"/>
      <c r="W53" s="83"/>
      <c r="X53" s="179"/>
      <c r="Y53" s="179"/>
      <c r="Z53" s="179"/>
      <c r="AA53" s="179"/>
      <c r="AB53" s="179">
        <v>2006</v>
      </c>
      <c r="AC53" s="179">
        <v>499.6</v>
      </c>
      <c r="AD53" s="179">
        <v>1.2071657325860687</v>
      </c>
      <c r="AE53" s="179"/>
      <c r="AF53" s="179"/>
      <c r="AG53" s="179"/>
      <c r="AH53" s="179"/>
      <c r="AI53" s="83"/>
      <c r="AJ53" s="83"/>
    </row>
    <row r="54" spans="1:36" ht="18.600000000000001" customHeight="1" x14ac:dyDescent="0.3">
      <c r="A54" s="83"/>
      <c r="B54" s="104"/>
      <c r="C54" s="178"/>
      <c r="D54" s="92"/>
      <c r="E54" s="92"/>
      <c r="F54" s="84"/>
      <c r="G54" s="353"/>
      <c r="H54" s="178"/>
      <c r="I54" s="178"/>
      <c r="J54" s="178"/>
      <c r="K54" s="601"/>
      <c r="L54" s="382"/>
      <c r="M54" s="348"/>
      <c r="N54" s="177"/>
      <c r="O54" s="177"/>
      <c r="P54" s="177"/>
      <c r="Q54" s="198"/>
      <c r="R54" s="198"/>
      <c r="S54" s="83"/>
      <c r="T54" s="83"/>
      <c r="U54" s="83"/>
      <c r="V54" s="83"/>
      <c r="W54" s="83"/>
      <c r="X54" s="179"/>
      <c r="Y54" s="179"/>
      <c r="Z54" s="179"/>
      <c r="AA54" s="179"/>
      <c r="AB54" s="179">
        <v>2007</v>
      </c>
      <c r="AC54" s="179">
        <v>525.4</v>
      </c>
      <c r="AD54" s="179">
        <v>1.147887323943662</v>
      </c>
      <c r="AE54" s="179"/>
      <c r="AF54" s="179"/>
      <c r="AG54" s="179"/>
      <c r="AH54" s="179"/>
      <c r="AI54" s="83"/>
      <c r="AJ54" s="83"/>
    </row>
    <row r="55" spans="1:36" ht="18.600000000000001" customHeight="1" x14ac:dyDescent="0.3">
      <c r="A55" s="83"/>
      <c r="B55" s="104"/>
      <c r="C55" s="178"/>
      <c r="D55" s="92"/>
      <c r="E55" s="92"/>
      <c r="F55" s="84"/>
      <c r="G55" s="353"/>
      <c r="H55" s="178"/>
      <c r="I55" s="178"/>
      <c r="J55" s="178"/>
      <c r="K55" s="601"/>
      <c r="L55" s="382"/>
      <c r="M55" s="348"/>
      <c r="N55" s="177"/>
      <c r="O55" s="177"/>
      <c r="P55" s="177"/>
      <c r="Q55" s="198"/>
      <c r="R55" s="198"/>
      <c r="S55" s="83"/>
      <c r="T55" s="83"/>
      <c r="U55" s="83"/>
      <c r="V55" s="83"/>
      <c r="W55" s="83"/>
      <c r="X55" s="179"/>
      <c r="Y55" s="179"/>
      <c r="Z55" s="179"/>
      <c r="AA55" s="179"/>
      <c r="AB55" s="179">
        <v>2008</v>
      </c>
      <c r="AC55" s="179">
        <v>575.4</v>
      </c>
      <c r="AD55" s="179">
        <v>1.0481404240528329</v>
      </c>
      <c r="AE55" s="179"/>
      <c r="AF55" s="179"/>
      <c r="AG55" s="179"/>
      <c r="AH55" s="179"/>
      <c r="AI55" s="83"/>
      <c r="AJ55" s="83"/>
    </row>
    <row r="56" spans="1:36" ht="18.600000000000001" customHeight="1" x14ac:dyDescent="0.3">
      <c r="A56" s="83"/>
      <c r="B56" s="104"/>
      <c r="C56" s="178"/>
      <c r="D56" s="92"/>
      <c r="E56" s="92"/>
      <c r="F56" s="84"/>
      <c r="G56" s="353"/>
      <c r="H56" s="178"/>
      <c r="I56" s="178"/>
      <c r="J56" s="178"/>
      <c r="K56" s="601"/>
      <c r="L56" s="382"/>
      <c r="M56" s="348"/>
      <c r="N56" s="177"/>
      <c r="O56" s="177"/>
      <c r="P56" s="177"/>
      <c r="Q56" s="198"/>
      <c r="R56" s="198"/>
      <c r="S56" s="83"/>
      <c r="T56" s="83"/>
      <c r="U56" s="83"/>
      <c r="V56" s="83"/>
      <c r="W56" s="83"/>
      <c r="X56" s="179"/>
      <c r="Y56" s="179"/>
      <c r="Z56" s="179"/>
      <c r="AA56" s="179"/>
      <c r="AB56" s="179">
        <v>2009</v>
      </c>
      <c r="AC56" s="179">
        <v>521.9</v>
      </c>
      <c r="AD56" s="179">
        <v>1.1555853611803029</v>
      </c>
      <c r="AE56" s="179"/>
      <c r="AF56" s="179"/>
      <c r="AG56" s="179"/>
      <c r="AH56" s="179"/>
      <c r="AI56" s="83"/>
      <c r="AJ56" s="83"/>
    </row>
    <row r="57" spans="1:36" ht="18.600000000000001" customHeight="1" x14ac:dyDescent="0.3">
      <c r="A57" s="83"/>
      <c r="B57" s="104"/>
      <c r="C57" s="178"/>
      <c r="D57" s="178"/>
      <c r="E57" s="178"/>
      <c r="F57" s="348"/>
      <c r="G57" s="353"/>
      <c r="H57" s="178"/>
      <c r="I57" s="178"/>
      <c r="J57" s="178"/>
      <c r="K57" s="601"/>
      <c r="L57" s="382"/>
      <c r="M57" s="348"/>
      <c r="N57" s="177"/>
      <c r="O57" s="177"/>
      <c r="P57" s="177"/>
      <c r="Q57" s="198"/>
      <c r="R57" s="198"/>
      <c r="S57" s="83"/>
      <c r="T57" s="83"/>
      <c r="U57" s="83"/>
      <c r="V57" s="83"/>
      <c r="W57" s="83"/>
      <c r="X57" s="179"/>
      <c r="Y57" s="179"/>
      <c r="Z57" s="179"/>
      <c r="AA57" s="179"/>
      <c r="AB57" s="179">
        <v>2010</v>
      </c>
      <c r="AC57" s="179">
        <v>550.79999999999995</v>
      </c>
      <c r="AD57" s="179">
        <v>1.0949527959331882</v>
      </c>
      <c r="AE57" s="179"/>
      <c r="AF57" s="179"/>
      <c r="AG57" s="179"/>
      <c r="AH57" s="179"/>
      <c r="AI57" s="83"/>
      <c r="AJ57" s="83"/>
    </row>
    <row r="58" spans="1:36" ht="18.600000000000001" customHeight="1" x14ac:dyDescent="0.3">
      <c r="A58" s="83"/>
      <c r="B58" s="104"/>
      <c r="C58" s="178"/>
      <c r="D58" s="178"/>
      <c r="E58" s="178"/>
      <c r="F58" s="348"/>
      <c r="G58" s="353"/>
      <c r="H58" s="178"/>
      <c r="I58" s="178"/>
      <c r="J58" s="178"/>
      <c r="K58" s="601"/>
      <c r="L58" s="382"/>
      <c r="M58" s="348"/>
      <c r="N58" s="177"/>
      <c r="O58" s="177"/>
      <c r="P58" s="177"/>
      <c r="Q58" s="198"/>
      <c r="R58" s="198"/>
      <c r="S58" s="83"/>
      <c r="T58" s="83"/>
      <c r="U58" s="83"/>
      <c r="V58" s="83"/>
      <c r="W58" s="83"/>
      <c r="X58" s="179"/>
      <c r="Y58" s="179"/>
      <c r="Z58" s="179"/>
      <c r="AA58" s="179"/>
      <c r="AB58" s="179">
        <v>2011</v>
      </c>
      <c r="AC58" s="179">
        <v>585.70000000000005</v>
      </c>
      <c r="AD58" s="179">
        <v>1.0297080416595525</v>
      </c>
      <c r="AE58" s="179"/>
      <c r="AF58" s="179"/>
      <c r="AG58" s="179"/>
      <c r="AH58" s="179"/>
      <c r="AI58" s="83"/>
      <c r="AJ58" s="83"/>
    </row>
    <row r="59" spans="1:36" ht="18.600000000000001" customHeight="1" x14ac:dyDescent="0.3">
      <c r="A59" s="83"/>
      <c r="B59" s="104"/>
      <c r="C59" s="178"/>
      <c r="D59" s="178"/>
      <c r="E59" s="178"/>
      <c r="F59" s="348"/>
      <c r="G59" s="353"/>
      <c r="H59" s="178"/>
      <c r="I59" s="178"/>
      <c r="J59" s="178"/>
      <c r="K59" s="601"/>
      <c r="L59" s="382"/>
      <c r="M59" s="348"/>
      <c r="N59" s="177"/>
      <c r="O59" s="177"/>
      <c r="P59" s="177"/>
      <c r="Q59" s="198"/>
      <c r="R59" s="198"/>
      <c r="S59" s="83"/>
      <c r="T59" s="83"/>
      <c r="U59" s="83"/>
      <c r="V59" s="83"/>
      <c r="W59" s="83"/>
      <c r="X59" s="179"/>
      <c r="Y59" s="179"/>
      <c r="Z59" s="179"/>
      <c r="AA59" s="179"/>
      <c r="AB59" s="179">
        <v>2012</v>
      </c>
      <c r="AC59" s="179">
        <v>584.6</v>
      </c>
      <c r="AD59" s="179">
        <v>1.0316455696202531</v>
      </c>
      <c r="AE59" s="179"/>
      <c r="AF59" s="179"/>
      <c r="AG59" s="179"/>
      <c r="AH59" s="179"/>
      <c r="AI59" s="83"/>
      <c r="AJ59" s="83"/>
    </row>
    <row r="60" spans="1:36" ht="18.600000000000001" customHeight="1" x14ac:dyDescent="0.3">
      <c r="A60" s="83"/>
      <c r="B60" s="104"/>
      <c r="C60" s="178"/>
      <c r="D60" s="178"/>
      <c r="E60" s="178"/>
      <c r="F60" s="348"/>
      <c r="G60" s="353"/>
      <c r="H60" s="178"/>
      <c r="I60" s="178"/>
      <c r="J60" s="178"/>
      <c r="K60" s="601"/>
      <c r="L60" s="382"/>
      <c r="M60" s="348"/>
      <c r="N60" s="177"/>
      <c r="O60" s="177"/>
      <c r="P60" s="177"/>
      <c r="Q60" s="198"/>
      <c r="R60" s="198"/>
      <c r="S60" s="83"/>
      <c r="T60" s="83"/>
      <c r="U60" s="83"/>
      <c r="V60" s="83"/>
      <c r="W60" s="83"/>
      <c r="X60" s="179"/>
      <c r="Y60" s="179"/>
      <c r="Z60" s="179"/>
      <c r="AA60" s="179"/>
      <c r="AB60" s="179">
        <v>2013</v>
      </c>
      <c r="AC60" s="179">
        <v>567.29999999999995</v>
      </c>
      <c r="AD60" s="179">
        <v>1.0631059404195313</v>
      </c>
      <c r="AE60" s="179"/>
      <c r="AF60" s="179"/>
      <c r="AG60" s="179"/>
      <c r="AH60" s="179"/>
      <c r="AI60" s="83"/>
      <c r="AJ60" s="83"/>
    </row>
    <row r="61" spans="1:36" ht="18.600000000000001" customHeight="1" x14ac:dyDescent="0.3">
      <c r="A61" s="83"/>
      <c r="B61" s="104"/>
      <c r="C61" s="178"/>
      <c r="D61" s="178"/>
      <c r="E61" s="178"/>
      <c r="F61" s="348"/>
      <c r="G61" s="353"/>
      <c r="H61" s="178"/>
      <c r="I61" s="178"/>
      <c r="J61" s="178"/>
      <c r="K61" s="601"/>
      <c r="L61" s="382"/>
      <c r="M61" s="348"/>
      <c r="N61" s="177"/>
      <c r="O61" s="177"/>
      <c r="P61" s="177"/>
      <c r="Q61" s="198"/>
      <c r="R61" s="198"/>
      <c r="S61" s="83"/>
      <c r="T61" s="83"/>
      <c r="U61" s="83"/>
      <c r="V61" s="83"/>
      <c r="W61" s="83"/>
      <c r="X61" s="179"/>
      <c r="Y61" s="179"/>
      <c r="Z61" s="179"/>
      <c r="AA61" s="179"/>
      <c r="AB61" s="179">
        <v>2014</v>
      </c>
      <c r="AC61" s="179">
        <v>576.1</v>
      </c>
      <c r="AD61" s="179">
        <v>1.0468668633917722</v>
      </c>
      <c r="AE61" s="179"/>
      <c r="AF61" s="179"/>
      <c r="AG61" s="179"/>
      <c r="AH61" s="179"/>
      <c r="AI61" s="83"/>
      <c r="AJ61" s="83"/>
    </row>
    <row r="62" spans="1:36" ht="18.600000000000001" customHeight="1" x14ac:dyDescent="0.3">
      <c r="A62" s="83"/>
      <c r="B62" s="104"/>
      <c r="C62" s="178"/>
      <c r="D62" s="178"/>
      <c r="E62" s="178"/>
      <c r="F62" s="348"/>
      <c r="G62" s="353"/>
      <c r="H62" s="178"/>
      <c r="I62" s="178"/>
      <c r="J62" s="178"/>
      <c r="K62" s="601"/>
      <c r="L62" s="382"/>
      <c r="M62" s="348"/>
      <c r="N62" s="177"/>
      <c r="O62" s="177"/>
      <c r="P62" s="177"/>
      <c r="Q62" s="198"/>
      <c r="R62" s="198"/>
      <c r="S62" s="83"/>
      <c r="T62" s="83"/>
      <c r="U62" s="83"/>
      <c r="V62" s="83"/>
      <c r="W62" s="83"/>
      <c r="X62" s="179"/>
      <c r="Y62" s="179"/>
      <c r="Z62" s="179"/>
      <c r="AA62" s="179"/>
      <c r="AB62" s="179">
        <v>2015</v>
      </c>
      <c r="AC62" s="179">
        <v>556.79999999999995</v>
      </c>
      <c r="AD62" s="179">
        <v>1.0831537356321841</v>
      </c>
      <c r="AE62" s="179"/>
      <c r="AF62" s="179"/>
      <c r="AG62" s="179"/>
      <c r="AH62" s="179"/>
      <c r="AI62" s="83"/>
      <c r="AJ62" s="83"/>
    </row>
    <row r="63" spans="1:36" ht="18.600000000000001" customHeight="1" x14ac:dyDescent="0.3">
      <c r="A63" s="83"/>
      <c r="B63" s="104"/>
      <c r="C63" s="178"/>
      <c r="D63" s="178"/>
      <c r="E63" s="178"/>
      <c r="F63" s="348"/>
      <c r="G63" s="353"/>
      <c r="H63" s="178"/>
      <c r="I63" s="178"/>
      <c r="J63" s="178"/>
      <c r="K63" s="601"/>
      <c r="L63" s="382"/>
      <c r="M63" s="348"/>
      <c r="N63" s="177"/>
      <c r="O63" s="177"/>
      <c r="P63" s="177"/>
      <c r="Q63" s="198"/>
      <c r="R63" s="198"/>
      <c r="S63" s="83"/>
      <c r="T63" s="83"/>
      <c r="U63" s="83"/>
      <c r="V63" s="83"/>
      <c r="W63" s="83"/>
      <c r="X63" s="179"/>
      <c r="Y63" s="179"/>
      <c r="Z63" s="179"/>
      <c r="AA63" s="179"/>
      <c r="AB63" s="179"/>
      <c r="AC63" s="179"/>
      <c r="AD63" s="179"/>
      <c r="AE63" s="179"/>
      <c r="AF63" s="179"/>
      <c r="AG63" s="179"/>
      <c r="AH63" s="179"/>
      <c r="AI63" s="83"/>
      <c r="AJ63" s="83"/>
    </row>
    <row r="64" spans="1:36" ht="18.600000000000001" customHeight="1" x14ac:dyDescent="0.3">
      <c r="A64" s="83"/>
      <c r="B64" s="104"/>
      <c r="C64" s="178"/>
      <c r="D64" s="178"/>
      <c r="E64" s="178"/>
      <c r="F64" s="348"/>
      <c r="G64" s="88" t="s">
        <v>686</v>
      </c>
      <c r="H64" s="88" t="s">
        <v>359</v>
      </c>
      <c r="I64" s="1211" t="s">
        <v>579</v>
      </c>
      <c r="J64" s="1211"/>
      <c r="K64" s="601"/>
      <c r="L64" s="382"/>
      <c r="M64" s="348"/>
      <c r="N64" s="177"/>
      <c r="O64" s="177"/>
      <c r="P64" s="177"/>
      <c r="Q64" s="198"/>
      <c r="R64" s="198"/>
      <c r="S64" s="83"/>
      <c r="T64" s="83"/>
      <c r="U64" s="83"/>
      <c r="V64" s="83"/>
      <c r="W64" s="83"/>
      <c r="X64" s="179"/>
      <c r="Y64" s="179"/>
      <c r="Z64" s="179"/>
      <c r="AA64" s="179"/>
      <c r="AB64" s="179"/>
      <c r="AC64" s="179"/>
      <c r="AD64" s="179"/>
      <c r="AE64" s="179"/>
      <c r="AF64" s="179"/>
      <c r="AG64" s="179"/>
      <c r="AH64" s="179"/>
      <c r="AI64" s="83"/>
      <c r="AJ64" s="83"/>
    </row>
    <row r="65" spans="1:36" ht="18.600000000000001" customHeight="1" x14ac:dyDescent="0.3">
      <c r="A65" s="83"/>
      <c r="B65" s="107"/>
      <c r="C65" s="349"/>
      <c r="D65" s="349"/>
      <c r="E65" s="349"/>
      <c r="F65" s="350"/>
      <c r="G65" s="630">
        <v>9</v>
      </c>
      <c r="H65" s="630" t="s">
        <v>1030</v>
      </c>
      <c r="I65" s="1219" t="s">
        <v>1031</v>
      </c>
      <c r="J65" s="1220"/>
      <c r="K65" s="602"/>
      <c r="L65" s="603"/>
      <c r="M65" s="350"/>
      <c r="N65" s="177"/>
      <c r="O65" s="177"/>
      <c r="P65" s="177"/>
      <c r="Q65" s="198"/>
      <c r="R65" s="198"/>
      <c r="S65" s="83"/>
      <c r="T65" s="83"/>
      <c r="U65" s="83"/>
      <c r="V65" s="83"/>
      <c r="W65" s="83"/>
      <c r="X65" s="179"/>
      <c r="Y65" s="179"/>
      <c r="Z65" s="179"/>
      <c r="AA65" s="179"/>
      <c r="AB65" s="179"/>
      <c r="AC65" s="179"/>
      <c r="AD65" s="179"/>
      <c r="AE65" s="179"/>
      <c r="AF65" s="179"/>
      <c r="AG65" s="179"/>
      <c r="AH65" s="179"/>
      <c r="AI65" s="83"/>
      <c r="AJ65" s="83"/>
    </row>
    <row r="66" spans="1:36" ht="18.600000000000001" customHeight="1" x14ac:dyDescent="0.3">
      <c r="A66" s="83"/>
      <c r="B66" s="105"/>
      <c r="C66" s="178"/>
      <c r="D66" s="178"/>
      <c r="E66" s="178"/>
      <c r="F66" s="178"/>
      <c r="G66" s="178"/>
      <c r="H66" s="178"/>
      <c r="I66" s="178"/>
      <c r="J66" s="178"/>
      <c r="K66" s="178"/>
      <c r="L66" s="178"/>
      <c r="M66" s="178"/>
      <c r="N66" s="177"/>
      <c r="O66" s="177"/>
      <c r="P66" s="177"/>
      <c r="Q66" s="198"/>
      <c r="R66" s="198"/>
      <c r="S66" s="83"/>
      <c r="T66" s="83"/>
      <c r="U66" s="83"/>
      <c r="V66" s="83"/>
      <c r="W66" s="83"/>
      <c r="X66" s="179"/>
      <c r="Y66" s="179"/>
      <c r="Z66" s="179"/>
      <c r="AA66" s="179"/>
      <c r="AB66" s="179"/>
      <c r="AC66" s="179"/>
      <c r="AD66" s="179"/>
      <c r="AE66" s="179"/>
      <c r="AF66" s="179"/>
      <c r="AG66" s="179"/>
      <c r="AH66" s="179"/>
      <c r="AI66" s="83"/>
      <c r="AJ66" s="83"/>
    </row>
    <row r="67" spans="1:36" x14ac:dyDescent="0.3">
      <c r="A67" s="83"/>
      <c r="B67" s="105"/>
      <c r="C67" s="178"/>
      <c r="D67" s="178"/>
      <c r="E67" s="178"/>
      <c r="F67" s="178"/>
      <c r="G67" s="178"/>
      <c r="H67" s="178"/>
      <c r="I67" s="178"/>
      <c r="J67" s="178"/>
      <c r="K67" s="178"/>
      <c r="L67" s="178"/>
      <c r="M67" s="177"/>
      <c r="N67" s="177"/>
      <c r="O67" s="177"/>
      <c r="P67" s="177"/>
      <c r="Q67" s="198"/>
      <c r="R67" s="198"/>
      <c r="S67" s="83"/>
      <c r="T67" s="83"/>
      <c r="U67" s="83"/>
      <c r="V67" s="83"/>
      <c r="W67" s="83"/>
      <c r="X67" s="83"/>
      <c r="Y67" s="83"/>
      <c r="Z67" s="83"/>
      <c r="AA67" s="83"/>
      <c r="AB67" s="83"/>
      <c r="AC67" s="83"/>
      <c r="AD67" s="83"/>
      <c r="AE67" s="83"/>
      <c r="AF67" s="83"/>
      <c r="AG67" s="83"/>
      <c r="AH67" s="83"/>
      <c r="AI67" s="83"/>
      <c r="AJ67" s="83"/>
    </row>
    <row r="68" spans="1:36" x14ac:dyDescent="0.3">
      <c r="A68" s="83"/>
      <c r="B68" s="83"/>
      <c r="C68" s="177"/>
      <c r="D68" s="177"/>
      <c r="E68" s="177"/>
      <c r="F68" s="177"/>
      <c r="G68" s="177"/>
      <c r="H68" s="177"/>
      <c r="I68" s="177"/>
      <c r="J68" s="177"/>
      <c r="K68" s="177"/>
      <c r="L68" s="177"/>
      <c r="M68" s="177"/>
      <c r="N68" s="177"/>
      <c r="O68" s="177"/>
      <c r="P68" s="177"/>
      <c r="Q68" s="198"/>
      <c r="R68" s="198"/>
      <c r="S68" s="83"/>
      <c r="T68" s="83"/>
      <c r="U68" s="83"/>
      <c r="V68" s="83"/>
      <c r="W68" s="83"/>
      <c r="X68" s="83"/>
      <c r="Y68" s="83"/>
      <c r="Z68" s="83"/>
      <c r="AA68" s="83"/>
      <c r="AB68" s="83"/>
      <c r="AC68" s="83"/>
      <c r="AD68" s="83"/>
      <c r="AE68" s="83"/>
      <c r="AF68" s="83"/>
      <c r="AG68" s="83"/>
      <c r="AH68" s="83"/>
      <c r="AI68" s="83"/>
      <c r="AJ68" s="83"/>
    </row>
    <row r="69" spans="1:36" x14ac:dyDescent="0.3">
      <c r="A69" s="83"/>
      <c r="B69" s="83"/>
      <c r="C69" s="177"/>
      <c r="D69" s="177"/>
      <c r="E69" s="177"/>
      <c r="F69" s="177"/>
      <c r="G69" s="177"/>
      <c r="H69" s="177"/>
      <c r="I69" s="177"/>
      <c r="J69" s="177"/>
      <c r="K69" s="177"/>
      <c r="L69" s="177"/>
      <c r="M69" s="177"/>
      <c r="N69" s="177"/>
      <c r="O69" s="177"/>
      <c r="P69" s="177"/>
      <c r="Q69" s="198"/>
      <c r="R69" s="198"/>
      <c r="S69" s="83"/>
      <c r="T69" s="83"/>
      <c r="U69" s="83"/>
      <c r="V69" s="83"/>
      <c r="W69" s="83"/>
      <c r="X69" s="83"/>
      <c r="Y69" s="83"/>
      <c r="Z69" s="83"/>
      <c r="AA69" s="83"/>
      <c r="AB69" s="83"/>
      <c r="AC69" s="83"/>
      <c r="AD69" s="83"/>
      <c r="AE69" s="83"/>
      <c r="AF69" s="83"/>
      <c r="AG69" s="83"/>
      <c r="AH69" s="83"/>
      <c r="AI69" s="83"/>
      <c r="AJ69" s="83"/>
    </row>
  </sheetData>
  <mergeCells count="27">
    <mergeCell ref="G5:H5"/>
    <mergeCell ref="O5:S5"/>
    <mergeCell ref="C3:F3"/>
    <mergeCell ref="G3:H3"/>
    <mergeCell ref="J3:M3"/>
    <mergeCell ref="O3:S3"/>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L42:M42"/>
    <mergeCell ref="L43:M43"/>
    <mergeCell ref="L44:M44"/>
    <mergeCell ref="I64:J64"/>
    <mergeCell ref="I65:J65"/>
  </mergeCells>
  <dataValidations count="4">
    <dataValidation type="list" allowBlank="1" showInputMessage="1" showErrorMessage="1" sqref="E8:E9" xr:uid="{E6C947E6-20D2-4BEC-87D2-32827B7E43CC}">
      <formula1>Case</formula1>
    </dataValidation>
    <dataValidation type="list" allowBlank="1" showInputMessage="1" showErrorMessage="1" sqref="H13:H34" xr:uid="{76E6DFBA-D096-4856-8720-CA85812A7F13}">
      <formula1>Location</formula1>
    </dataValidation>
    <dataValidation type="list" allowBlank="1" showInputMessage="1" showErrorMessage="1" sqref="G13:G34" xr:uid="{5F959CE7-20E4-41BF-8CFE-A589829EFAC9}">
      <formula1>Year</formula1>
    </dataValidation>
    <dataValidation type="list" allowBlank="1" showInputMessage="1" showErrorMessage="1" sqref="F13:F34" xr:uid="{5BABB2E3-DF8E-400B-A514-13EA5A748A00}">
      <formula1>Currency</formula1>
    </dataValidation>
  </dataValidations>
  <hyperlinks>
    <hyperlink ref="I65:J65" r:id="rId1" location=":~:text=In%20general%2C%20the%20cost%20for,require%20a%20softener%20and%20desilicizer." display="CWT Cost" xr:uid="{70B85677-2A1D-4A8A-8B1F-F12CC1E08B98}"/>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85697" r:id="rId5"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55" zoomScaleNormal="55" workbookViewId="0">
      <selection activeCell="K27" sqref="K27"/>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55" t="s">
        <v>573</v>
      </c>
      <c r="C1" s="257"/>
      <c r="D1" s="83"/>
      <c r="E1" s="83"/>
      <c r="F1" s="83"/>
      <c r="G1" s="83"/>
      <c r="H1" s="83"/>
      <c r="I1" s="105"/>
      <c r="J1" s="105"/>
      <c r="K1" s="105"/>
      <c r="L1" s="83"/>
      <c r="M1" s="83"/>
      <c r="N1" s="83"/>
      <c r="O1" s="83"/>
    </row>
    <row r="2" spans="1:15" ht="24" customHeight="1" x14ac:dyDescent="0.3">
      <c r="B2" s="289"/>
      <c r="C2" s="289"/>
      <c r="D2" s="289"/>
      <c r="E2" s="289"/>
      <c r="F2" s="289"/>
      <c r="G2" s="289"/>
      <c r="H2" s="289"/>
      <c r="I2" s="450"/>
      <c r="J2" s="450"/>
      <c r="K2" s="450"/>
      <c r="L2" s="83"/>
      <c r="M2" s="83"/>
      <c r="N2" s="174"/>
      <c r="O2" s="174"/>
    </row>
    <row r="3" spans="1:15" ht="38.4" customHeight="1" x14ac:dyDescent="0.3">
      <c r="A3" s="83"/>
      <c r="B3" s="555" t="s">
        <v>461</v>
      </c>
      <c r="C3" s="556" t="s">
        <v>462</v>
      </c>
      <c r="D3" s="554" t="s">
        <v>660</v>
      </c>
      <c r="E3" s="554" t="s">
        <v>661</v>
      </c>
      <c r="F3" s="554" t="s">
        <v>680</v>
      </c>
      <c r="G3" s="554" t="s">
        <v>681</v>
      </c>
      <c r="H3" s="554" t="s">
        <v>874</v>
      </c>
      <c r="I3" s="554" t="s">
        <v>875</v>
      </c>
      <c r="J3" s="554" t="s">
        <v>972</v>
      </c>
      <c r="K3" s="554" t="s">
        <v>440</v>
      </c>
      <c r="L3" s="174"/>
      <c r="M3" s="92"/>
      <c r="N3" s="92"/>
    </row>
    <row r="4" spans="1:15" ht="38.4" customHeight="1" x14ac:dyDescent="0.3">
      <c r="A4" s="83"/>
      <c r="B4" s="87" t="s">
        <v>670</v>
      </c>
      <c r="C4" s="529" t="s">
        <v>356</v>
      </c>
      <c r="D4" s="530" t="str">
        <f>+'Unit-100 - NG Pre-treating'!E6</f>
        <v>NG Pre-treating</v>
      </c>
      <c r="E4" s="530" t="str">
        <f>+'Unit-200 - GSR'!E6</f>
        <v>GSR</v>
      </c>
      <c r="F4" s="530" t="str">
        <f>+'Unit-300 - Power Cycle '!E6</f>
        <v>Power Cycle</v>
      </c>
      <c r="G4" s="530" t="str">
        <f>+'Unit-400 - WGS'!E6</f>
        <v>WGS</v>
      </c>
      <c r="H4" s="530" t="str">
        <f>+'Unit-500 - H2 Production'!E6</f>
        <v>H₂ Production</v>
      </c>
      <c r="I4" s="530" t="str">
        <f>+'Unit-600 - CO2 CPU'!E6</f>
        <v>CO₂ CPU</v>
      </c>
      <c r="J4" s="530" t="str">
        <f>+'Unit-700 - CWT'!E6</f>
        <v>CWT</v>
      </c>
      <c r="K4" s="467" t="str">
        <f>+'Plant Overview'!E6</f>
        <v xml:space="preserve">GSR-H₂ </v>
      </c>
      <c r="L4" s="174"/>
      <c r="M4" s="92"/>
      <c r="N4" s="92"/>
    </row>
    <row r="5" spans="1:15" ht="38.4" customHeight="1" x14ac:dyDescent="0.3">
      <c r="A5" s="83"/>
      <c r="B5" s="528" t="s">
        <v>239</v>
      </c>
      <c r="C5" s="529" t="s">
        <v>356</v>
      </c>
      <c r="D5" s="469" t="s">
        <v>240</v>
      </c>
      <c r="E5" s="469" t="str">
        <f>+'Unit-200 - GSR'!E7</f>
        <v>U-200</v>
      </c>
      <c r="F5" s="469" t="str">
        <f>+'Unit-300 - Power Cycle '!E7</f>
        <v>U-300</v>
      </c>
      <c r="G5" s="469" t="str">
        <f>+'Unit-400 - WGS'!E7</f>
        <v>U-400</v>
      </c>
      <c r="H5" s="469" t="str">
        <f>+'Unit-500 - H2 Production'!E7</f>
        <v>U-500</v>
      </c>
      <c r="I5" s="469" t="str">
        <f>+'Unit-600 - CO2 CPU'!E7</f>
        <v>U-600</v>
      </c>
      <c r="J5" s="469" t="str">
        <f>+'Unit-700 - CWT'!E7</f>
        <v>U-700</v>
      </c>
      <c r="K5" s="467" t="s">
        <v>589</v>
      </c>
      <c r="L5" s="174"/>
      <c r="M5" s="92"/>
      <c r="N5" s="92"/>
    </row>
    <row r="6" spans="1:15" ht="38.4" customHeight="1" thickBot="1" x14ac:dyDescent="0.35">
      <c r="A6" s="83"/>
      <c r="B6" s="276" t="s">
        <v>586</v>
      </c>
      <c r="C6" s="188" t="s">
        <v>587</v>
      </c>
      <c r="D6" s="482">
        <f ca="1">+'Unit-100 - NG Pre-treating'!S53+'Unit-100 - NG Pre-treating'!S54</f>
        <v>5.9408402504295754</v>
      </c>
      <c r="E6" s="482">
        <f ca="1">('Unit-200 - GSR'!S53+'Unit-200 - GSR'!S54)</f>
        <v>8.2209938943204506</v>
      </c>
      <c r="F6" s="482">
        <f ca="1">+'Unit-300 - Power Cycle '!S53</f>
        <v>12.616474018969411</v>
      </c>
      <c r="G6" s="482">
        <f ca="1">+'Unit-400 - WGS'!S53+'Unit-400 - WGS'!S54</f>
        <v>2.9545059182078464</v>
      </c>
      <c r="H6" s="482">
        <f ca="1">+'Unit-500 - H2 Production'!S53+'Unit-500 - H2 Production'!S54</f>
        <v>24.424428048136996</v>
      </c>
      <c r="I6" s="482">
        <f ca="1">+'Unit-600 - CO2 CPU'!S53</f>
        <v>3.5466470955671192</v>
      </c>
      <c r="J6" s="482">
        <f ca="1">+'Unit-700 - CWT'!S36</f>
        <v>0.71095932885207624</v>
      </c>
      <c r="K6" s="483">
        <v>58.414848327636719</v>
      </c>
      <c r="L6" s="174"/>
      <c r="M6" s="92"/>
      <c r="N6" s="92"/>
    </row>
    <row r="7" spans="1:15" ht="38.4" customHeight="1" thickTop="1" x14ac:dyDescent="0.3">
      <c r="A7" s="83"/>
      <c r="B7" s="291" t="s">
        <v>273</v>
      </c>
      <c r="C7" s="161" t="s">
        <v>656</v>
      </c>
      <c r="D7" s="483">
        <f ca="1">+D6*D18</f>
        <v>0.59408402504295754</v>
      </c>
      <c r="E7" s="483">
        <f ca="1">+E6*E18</f>
        <v>0.82209938943204508</v>
      </c>
      <c r="F7" s="483">
        <f ca="1">+F6*F18</f>
        <v>1.2616474018969412</v>
      </c>
      <c r="G7" s="483">
        <f ca="1">+G6*G18</f>
        <v>0.29545059182078465</v>
      </c>
      <c r="H7" s="483">
        <f ca="1">+H6*H18</f>
        <v>2.4424428048136999</v>
      </c>
      <c r="I7" s="483">
        <f t="shared" ref="I7:J7" ca="1" si="0">+I6*I18</f>
        <v>0.35466470955671192</v>
      </c>
      <c r="J7" s="483">
        <f t="shared" ca="1" si="0"/>
        <v>7.109593288520763E-2</v>
      </c>
      <c r="K7" s="483">
        <v>5.8414850234985352</v>
      </c>
      <c r="L7" s="174"/>
      <c r="M7" s="92"/>
      <c r="N7" s="92"/>
    </row>
    <row r="8" spans="1:15" ht="38.4" customHeight="1" x14ac:dyDescent="0.3">
      <c r="A8" s="83"/>
      <c r="B8" s="159" t="s">
        <v>274</v>
      </c>
      <c r="C8" s="162" t="s">
        <v>656</v>
      </c>
      <c r="D8" s="483">
        <f ca="1">+D19*D6</f>
        <v>0</v>
      </c>
      <c r="E8" s="483">
        <f ca="1">+E19*E6</f>
        <v>2.4662981682961349</v>
      </c>
      <c r="F8" s="483">
        <f ca="1">+F19*F6</f>
        <v>0</v>
      </c>
      <c r="G8" s="483">
        <f ca="1">+G19*G6</f>
        <v>0</v>
      </c>
      <c r="H8" s="483">
        <f t="shared" ref="H8:I8" ca="1" si="1">+H19*H6</f>
        <v>0</v>
      </c>
      <c r="I8" s="483">
        <f t="shared" ca="1" si="1"/>
        <v>0</v>
      </c>
      <c r="J8" s="483">
        <f t="shared" ref="J8" ca="1" si="2">+J19*J6</f>
        <v>0</v>
      </c>
      <c r="K8" s="483">
        <v>2.4662981033325195</v>
      </c>
      <c r="L8" s="83"/>
    </row>
    <row r="9" spans="1:15" ht="38.4" customHeight="1" x14ac:dyDescent="0.3">
      <c r="A9" s="83"/>
      <c r="B9" s="159" t="s">
        <v>275</v>
      </c>
      <c r="C9" s="287" t="s">
        <v>657</v>
      </c>
      <c r="D9" s="483">
        <f ca="1">+D20*(D6+D7+D8)</f>
        <v>1.3069848550945067</v>
      </c>
      <c r="E9" s="483">
        <f ca="1">+E20*(E6+E7+E8)</f>
        <v>2.3018782904097264</v>
      </c>
      <c r="F9" s="483">
        <f ca="1">+F20*(F6+F7+F8)</f>
        <v>2.7756242841732703</v>
      </c>
      <c r="G9" s="483">
        <f ca="1">+G20*(G6+G7+G8)</f>
        <v>0.64999130200572619</v>
      </c>
      <c r="H9" s="483">
        <f t="shared" ref="H9:I9" ca="1" si="3">+H20*(H6+H7+H8)</f>
        <v>5.3733741705901394</v>
      </c>
      <c r="I9" s="483">
        <f t="shared" ca="1" si="3"/>
        <v>0.78026236102476632</v>
      </c>
      <c r="J9" s="483">
        <f t="shared" ref="J9" ca="1" si="4">+J20*(J6+J7+J8)</f>
        <v>0.15641105234745678</v>
      </c>
      <c r="K9" s="483">
        <v>13.344525337219238</v>
      </c>
      <c r="L9" s="83"/>
    </row>
    <row r="10" spans="1:15" ht="38.4" customHeight="1" x14ac:dyDescent="0.3">
      <c r="A10" s="83"/>
      <c r="B10" s="159" t="s">
        <v>276</v>
      </c>
      <c r="C10" s="160" t="s">
        <v>277</v>
      </c>
      <c r="D10" s="483">
        <f ca="1">+SUM(D8+D9)</f>
        <v>1.3069848550945067</v>
      </c>
      <c r="E10" s="483">
        <f t="shared" ref="E10:I10" ca="1" si="5">+SUM(E8+E9)</f>
        <v>4.7681764587058613</v>
      </c>
      <c r="F10" s="483">
        <f t="shared" ca="1" si="5"/>
        <v>2.7756242841732703</v>
      </c>
      <c r="G10" s="483">
        <f t="shared" ca="1" si="5"/>
        <v>0.64999130200572619</v>
      </c>
      <c r="H10" s="483">
        <f t="shared" ca="1" si="5"/>
        <v>5.3733741705901394</v>
      </c>
      <c r="I10" s="483">
        <f t="shared" ca="1" si="5"/>
        <v>0.78026236102476632</v>
      </c>
      <c r="J10" s="483">
        <f t="shared" ref="J10" ca="1" si="6">+SUM(J8+J9)</f>
        <v>0.15641105234745678</v>
      </c>
      <c r="K10" s="483">
        <v>15.810824394226074</v>
      </c>
      <c r="L10" s="83"/>
    </row>
    <row r="11" spans="1:15" ht="38.4" customHeight="1" x14ac:dyDescent="0.3">
      <c r="A11" s="83"/>
      <c r="B11" s="159" t="s">
        <v>278</v>
      </c>
      <c r="C11" s="160" t="s">
        <v>279</v>
      </c>
      <c r="D11" s="483">
        <f ca="1">+D6+D7+D10</f>
        <v>7.8419091305670392</v>
      </c>
      <c r="E11" s="483">
        <f t="shared" ref="E11:I11" ca="1" si="7">+E6+E7+E10</f>
        <v>13.811269742458357</v>
      </c>
      <c r="F11" s="483">
        <f t="shared" ca="1" si="7"/>
        <v>16.653745705039622</v>
      </c>
      <c r="G11" s="483">
        <f t="shared" ca="1" si="7"/>
        <v>3.8999478120343571</v>
      </c>
      <c r="H11" s="483">
        <f t="shared" ca="1" si="7"/>
        <v>32.240245023540837</v>
      </c>
      <c r="I11" s="483">
        <f t="shared" ca="1" si="7"/>
        <v>4.6815741661485974</v>
      </c>
      <c r="J11" s="483">
        <f t="shared" ref="J11" ca="1" si="8">+J6+J7+J10</f>
        <v>0.93846631408474068</v>
      </c>
      <c r="K11" s="483">
        <v>80.067153930664063</v>
      </c>
      <c r="L11" s="83"/>
    </row>
    <row r="12" spans="1:15" ht="38.4" customHeight="1" x14ac:dyDescent="0.3">
      <c r="A12" s="83"/>
      <c r="B12" s="159" t="s">
        <v>280</v>
      </c>
      <c r="C12" s="160" t="s">
        <v>654</v>
      </c>
      <c r="D12" s="483">
        <f ca="1">+D11*D23</f>
        <v>1.1762863695850558</v>
      </c>
      <c r="E12" s="483">
        <f ca="1">+E11*E23</f>
        <v>2.0716904613687537</v>
      </c>
      <c r="F12" s="483">
        <f ca="1">+F11*F23</f>
        <v>2.4980618557559433</v>
      </c>
      <c r="G12" s="483">
        <f ca="1">+G11*G23</f>
        <v>0.5849921718051535</v>
      </c>
      <c r="H12" s="483">
        <f ca="1">+H11*H23</f>
        <v>4.8360367535311255</v>
      </c>
      <c r="I12" s="483">
        <f t="shared" ref="I12:J12" ca="1" si="9">+I11*I23</f>
        <v>0.7022361249222896</v>
      </c>
      <c r="J12" s="483">
        <f t="shared" ca="1" si="9"/>
        <v>1.0792362611974518</v>
      </c>
      <c r="K12" s="483">
        <v>12.948539733886719</v>
      </c>
      <c r="L12" s="83"/>
    </row>
    <row r="13" spans="1:15" ht="38.4" customHeight="1" thickBot="1" x14ac:dyDescent="0.35">
      <c r="A13" s="83"/>
      <c r="B13" s="190" t="s">
        <v>281</v>
      </c>
      <c r="C13" s="191" t="s">
        <v>282</v>
      </c>
      <c r="D13" s="483">
        <f ca="1">+D11+D12</f>
        <v>9.0181955001520944</v>
      </c>
      <c r="E13" s="483">
        <f t="shared" ref="E13:I13" ca="1" si="10">+E11+E12</f>
        <v>15.88296020382711</v>
      </c>
      <c r="F13" s="483">
        <f t="shared" ca="1" si="10"/>
        <v>19.151807560795564</v>
      </c>
      <c r="G13" s="483">
        <f t="shared" ca="1" si="10"/>
        <v>4.484939983839511</v>
      </c>
      <c r="H13" s="483">
        <f t="shared" ca="1" si="10"/>
        <v>37.076281777071962</v>
      </c>
      <c r="I13" s="483">
        <f t="shared" ca="1" si="10"/>
        <v>5.3838102910708869</v>
      </c>
      <c r="J13" s="483">
        <f t="shared" ref="J13" ca="1" si="11">+J11+J12</f>
        <v>2.0177025752821924</v>
      </c>
      <c r="K13" s="483">
        <v>93.015693664550781</v>
      </c>
      <c r="L13" s="83"/>
    </row>
    <row r="14" spans="1:15" ht="38.4" customHeight="1" thickTop="1" x14ac:dyDescent="0.3">
      <c r="A14" s="83"/>
      <c r="B14" s="192" t="s">
        <v>283</v>
      </c>
      <c r="C14" s="161" t="s">
        <v>655</v>
      </c>
      <c r="D14" s="483">
        <f ca="1">+D13*D25</f>
        <v>10.010197005168825</v>
      </c>
      <c r="E14" s="483">
        <f ca="1">+E13*E25</f>
        <v>17.630085826248095</v>
      </c>
      <c r="F14" s="483">
        <f ca="1">+F13*F25</f>
        <v>21.258506392483078</v>
      </c>
      <c r="G14" s="483">
        <f ca="1">+G13*G25</f>
        <v>4.9782833820618579</v>
      </c>
      <c r="H14" s="483">
        <f ca="1">+H13*H25</f>
        <v>41.15467277254988</v>
      </c>
      <c r="I14" s="483">
        <f t="shared" ref="I14:J14" ca="1" si="12">+I13*I25</f>
        <v>5.9760294230886855</v>
      </c>
      <c r="J14" s="483">
        <f t="shared" ca="1" si="12"/>
        <v>2.2396498585632338</v>
      </c>
      <c r="K14" s="483">
        <v>105.26512908935547</v>
      </c>
      <c r="L14" s="83"/>
    </row>
    <row r="15" spans="1:15" x14ac:dyDescent="0.3">
      <c r="A15" s="83"/>
      <c r="B15" s="83"/>
      <c r="C15" s="83"/>
      <c r="D15" s="246"/>
      <c r="E15" s="246"/>
      <c r="F15" s="246"/>
      <c r="G15" s="246"/>
      <c r="H15" s="246"/>
      <c r="M15" s="83"/>
      <c r="N15" s="83"/>
      <c r="O15" s="83"/>
    </row>
    <row r="16" spans="1:15" ht="38.4" customHeight="1" x14ac:dyDescent="0.3">
      <c r="A16" s="83"/>
      <c r="B16" s="555" t="s">
        <v>359</v>
      </c>
      <c r="C16" s="555" t="s">
        <v>462</v>
      </c>
      <c r="D16" s="573" t="s">
        <v>660</v>
      </c>
      <c r="E16" s="573" t="s">
        <v>661</v>
      </c>
      <c r="F16" s="573" t="s">
        <v>680</v>
      </c>
      <c r="G16" s="573" t="s">
        <v>681</v>
      </c>
      <c r="H16" s="841" t="s">
        <v>874</v>
      </c>
      <c r="I16" s="841" t="s">
        <v>875</v>
      </c>
      <c r="J16" s="841" t="s">
        <v>972</v>
      </c>
      <c r="K16" s="177"/>
      <c r="L16" s="83"/>
      <c r="M16" s="83"/>
    </row>
    <row r="17" spans="1:15" ht="38.4" customHeight="1" x14ac:dyDescent="0.3">
      <c r="A17" s="83"/>
      <c r="B17" s="86" t="s">
        <v>271</v>
      </c>
      <c r="C17" s="86" t="s">
        <v>272</v>
      </c>
      <c r="D17" s="525" t="s">
        <v>354</v>
      </c>
      <c r="E17" s="525" t="s">
        <v>354</v>
      </c>
      <c r="F17" s="525" t="s">
        <v>354</v>
      </c>
      <c r="G17" s="525" t="s">
        <v>354</v>
      </c>
      <c r="H17" s="525" t="s">
        <v>354</v>
      </c>
      <c r="I17" s="525" t="s">
        <v>354</v>
      </c>
      <c r="J17" s="525" t="s">
        <v>354</v>
      </c>
      <c r="K17" s="177"/>
      <c r="L17" s="83"/>
      <c r="M17" s="83"/>
    </row>
    <row r="18" spans="1:15" ht="38.4" customHeight="1" x14ac:dyDescent="0.3">
      <c r="A18" s="83"/>
      <c r="B18" s="598" t="s">
        <v>273</v>
      </c>
      <c r="C18" s="86" t="s">
        <v>656</v>
      </c>
      <c r="D18" s="526">
        <v>0.1</v>
      </c>
      <c r="E18" s="526">
        <f>+Tabla72[[#This Row],[Item 1]]</f>
        <v>0.1</v>
      </c>
      <c r="F18" s="526">
        <f>+Tabla72[[#This Row],[Item 2]]</f>
        <v>0.1</v>
      </c>
      <c r="G18" s="526">
        <f>+Tabla72[[#This Row],[Item 3]]</f>
        <v>0.1</v>
      </c>
      <c r="H18" s="526">
        <f>+Tabla72[[#This Row],[Item 4]]</f>
        <v>0.1</v>
      </c>
      <c r="I18" s="526">
        <f>+Tabla72[[#This Row],[Item 5]]</f>
        <v>0.1</v>
      </c>
      <c r="J18" s="526">
        <f>+Tabla72[[#This Row],[Item 6]]</f>
        <v>0.1</v>
      </c>
      <c r="K18" s="177"/>
      <c r="L18" s="83"/>
      <c r="M18" s="83"/>
    </row>
    <row r="19" spans="1:15" ht="38.4" customHeight="1" x14ac:dyDescent="0.3">
      <c r="A19" s="83"/>
      <c r="B19" s="86" t="s">
        <v>274</v>
      </c>
      <c r="C19" s="86" t="s">
        <v>656</v>
      </c>
      <c r="D19" s="527">
        <v>0</v>
      </c>
      <c r="E19" s="527">
        <v>0.3</v>
      </c>
      <c r="F19" s="527">
        <v>0</v>
      </c>
      <c r="G19" s="527">
        <v>0</v>
      </c>
      <c r="H19" s="527">
        <v>0</v>
      </c>
      <c r="I19" s="527">
        <v>0</v>
      </c>
      <c r="J19" s="527">
        <v>0</v>
      </c>
      <c r="K19" s="177"/>
      <c r="L19" s="83"/>
      <c r="M19" s="83"/>
    </row>
    <row r="20" spans="1:15" ht="38.4" customHeight="1" x14ac:dyDescent="0.3">
      <c r="A20" s="83"/>
      <c r="B20" s="86" t="s">
        <v>275</v>
      </c>
      <c r="C20" s="86" t="s">
        <v>657</v>
      </c>
      <c r="D20" s="527">
        <v>0.2</v>
      </c>
      <c r="E20" s="527">
        <v>0.2</v>
      </c>
      <c r="F20" s="527">
        <v>0.2</v>
      </c>
      <c r="G20" s="527">
        <v>0.2</v>
      </c>
      <c r="H20" s="527">
        <v>0.2</v>
      </c>
      <c r="I20" s="527">
        <v>0.2</v>
      </c>
      <c r="J20" s="527">
        <v>0.2</v>
      </c>
      <c r="K20" s="177"/>
      <c r="L20" s="83"/>
      <c r="M20" s="83"/>
    </row>
    <row r="21" spans="1:15" ht="38.4" customHeight="1" x14ac:dyDescent="0.3">
      <c r="A21" s="83"/>
      <c r="B21" s="86" t="s">
        <v>276</v>
      </c>
      <c r="C21" s="86" t="s">
        <v>277</v>
      </c>
      <c r="D21" s="382" t="s">
        <v>354</v>
      </c>
      <c r="E21" s="382" t="s">
        <v>354</v>
      </c>
      <c r="F21" s="382" t="s">
        <v>354</v>
      </c>
      <c r="G21" s="382" t="s">
        <v>354</v>
      </c>
      <c r="H21" s="382" t="s">
        <v>354</v>
      </c>
      <c r="I21" s="382" t="s">
        <v>354</v>
      </c>
      <c r="J21" s="382" t="s">
        <v>354</v>
      </c>
      <c r="K21" s="177"/>
      <c r="L21" s="83"/>
      <c r="M21" s="83"/>
    </row>
    <row r="22" spans="1:15" ht="38.4" customHeight="1" x14ac:dyDescent="0.3">
      <c r="A22" s="83"/>
      <c r="B22" s="86" t="s">
        <v>278</v>
      </c>
      <c r="C22" s="86" t="s">
        <v>279</v>
      </c>
      <c r="D22" s="382" t="s">
        <v>354</v>
      </c>
      <c r="E22" s="382" t="s">
        <v>354</v>
      </c>
      <c r="F22" s="382" t="s">
        <v>354</v>
      </c>
      <c r="G22" s="382" t="s">
        <v>354</v>
      </c>
      <c r="H22" s="382" t="s">
        <v>354</v>
      </c>
      <c r="I22" s="382" t="s">
        <v>354</v>
      </c>
      <c r="J22" s="382" t="s">
        <v>354</v>
      </c>
      <c r="K22" s="177"/>
      <c r="L22" s="83"/>
      <c r="M22" s="83"/>
    </row>
    <row r="23" spans="1:15" ht="38.4" customHeight="1" x14ac:dyDescent="0.3">
      <c r="A23" s="83"/>
      <c r="B23" s="86" t="s">
        <v>280</v>
      </c>
      <c r="C23" s="86" t="s">
        <v>654</v>
      </c>
      <c r="D23" s="527">
        <v>0.15</v>
      </c>
      <c r="E23" s="527">
        <v>0.15</v>
      </c>
      <c r="F23" s="527">
        <v>0.15</v>
      </c>
      <c r="G23" s="527">
        <v>0.15</v>
      </c>
      <c r="H23" s="527">
        <v>0.15</v>
      </c>
      <c r="I23" s="527">
        <v>0.15</v>
      </c>
      <c r="J23" s="527">
        <v>1.1499999999999999</v>
      </c>
      <c r="K23" s="177"/>
      <c r="L23" s="83"/>
      <c r="M23" s="83"/>
    </row>
    <row r="24" spans="1:15" ht="38.4" customHeight="1" x14ac:dyDescent="0.3">
      <c r="A24" s="83"/>
      <c r="B24" s="86" t="s">
        <v>281</v>
      </c>
      <c r="C24" s="86" t="s">
        <v>282</v>
      </c>
      <c r="D24" s="382" t="s">
        <v>354</v>
      </c>
      <c r="E24" s="382" t="s">
        <v>354</v>
      </c>
      <c r="F24" s="382" t="s">
        <v>354</v>
      </c>
      <c r="G24" s="382" t="s">
        <v>354</v>
      </c>
      <c r="H24" s="382" t="s">
        <v>354</v>
      </c>
      <c r="I24" s="382" t="s">
        <v>354</v>
      </c>
      <c r="J24" s="382" t="s">
        <v>354</v>
      </c>
      <c r="K24" s="177"/>
      <c r="L24" s="83"/>
      <c r="M24" s="83"/>
    </row>
    <row r="25" spans="1:15" ht="38.4" customHeight="1" x14ac:dyDescent="0.3">
      <c r="A25" s="83"/>
      <c r="B25" s="86" t="s">
        <v>283</v>
      </c>
      <c r="C25" s="86" t="s">
        <v>284</v>
      </c>
      <c r="D25" s="527">
        <v>1.1100000000000001</v>
      </c>
      <c r="E25" s="527">
        <v>1.1100000000000001</v>
      </c>
      <c r="F25" s="527">
        <v>1.1100000000000001</v>
      </c>
      <c r="G25" s="527">
        <v>1.1100000000000001</v>
      </c>
      <c r="H25" s="527">
        <v>1.1100000000000001</v>
      </c>
      <c r="I25" s="527">
        <v>1.1100000000000001</v>
      </c>
      <c r="J25" s="527">
        <v>1.1100000000000001</v>
      </c>
      <c r="K25" s="177"/>
      <c r="L25" s="83"/>
      <c r="M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1227" t="s">
        <v>631</v>
      </c>
      <c r="C28" s="1228"/>
      <c r="D28" s="92"/>
      <c r="E28" s="288"/>
      <c r="G28" s="83"/>
      <c r="H28" s="83"/>
      <c r="I28" s="83"/>
      <c r="J28" s="83"/>
      <c r="K28" s="83"/>
      <c r="L28" s="83"/>
      <c r="M28" s="83"/>
      <c r="N28" s="83"/>
      <c r="O28" s="83"/>
    </row>
    <row r="29" spans="1:15" ht="36" customHeight="1" x14ac:dyDescent="0.3">
      <c r="A29" s="83"/>
      <c r="B29" s="513" t="s">
        <v>463</v>
      </c>
      <c r="C29" s="565" t="str">
        <f>+'Plant Overview'!E9</f>
        <v>€</v>
      </c>
      <c r="D29" s="570" t="s">
        <v>495</v>
      </c>
      <c r="E29" s="290"/>
      <c r="F29" s="83"/>
      <c r="G29" s="83"/>
      <c r="H29" s="83"/>
      <c r="I29" s="83"/>
      <c r="J29" s="83"/>
      <c r="K29" s="83"/>
      <c r="L29" s="83"/>
      <c r="M29" s="83"/>
      <c r="N29" s="83"/>
      <c r="O29" s="83"/>
    </row>
    <row r="30" spans="1:15" ht="36" customHeight="1" x14ac:dyDescent="0.3">
      <c r="A30" s="83"/>
      <c r="B30" s="566" t="s">
        <v>315</v>
      </c>
      <c r="C30" s="567">
        <f>+'Plant Overview'!E8</f>
        <v>2020</v>
      </c>
      <c r="D30" s="484"/>
      <c r="E30" s="105"/>
      <c r="F30" s="83"/>
      <c r="G30" s="83"/>
      <c r="H30" s="83"/>
      <c r="I30" s="83"/>
      <c r="J30" s="83"/>
      <c r="K30" s="83"/>
      <c r="L30" s="83"/>
      <c r="M30" s="83"/>
      <c r="N30" s="83"/>
      <c r="O30" s="83"/>
    </row>
    <row r="31" spans="1:15" ht="36" customHeight="1" x14ac:dyDescent="0.3">
      <c r="A31" s="83"/>
      <c r="B31" s="568" t="s">
        <v>476</v>
      </c>
      <c r="C31" s="569" t="str">
        <f>+'Plant Overview'!E7</f>
        <v>Western Europe</v>
      </c>
      <c r="D31" s="485"/>
      <c r="E31" s="105"/>
      <c r="F31" s="83"/>
      <c r="G31" s="83"/>
      <c r="H31" s="83"/>
      <c r="I31" s="83"/>
      <c r="J31" s="83"/>
      <c r="K31" s="83"/>
      <c r="L31" s="83"/>
      <c r="M31" s="83"/>
      <c r="N31" s="83"/>
      <c r="O31" s="83"/>
    </row>
    <row r="32" spans="1:15" ht="36" customHeight="1" x14ac:dyDescent="0.3">
      <c r="A32" s="83"/>
      <c r="B32" s="83"/>
      <c r="C32" s="177"/>
      <c r="D32" s="177"/>
      <c r="E32" s="105"/>
      <c r="F32" s="83"/>
      <c r="G32" s="83"/>
      <c r="H32" s="83"/>
      <c r="I32" s="83"/>
      <c r="J32" s="83"/>
      <c r="K32" s="83"/>
      <c r="L32" s="83"/>
      <c r="M32" s="83"/>
      <c r="N32" s="83"/>
      <c r="O32" s="83"/>
    </row>
    <row r="33" spans="1:15" ht="36" customHeight="1" x14ac:dyDescent="0.3">
      <c r="A33" s="83"/>
      <c r="B33" s="532" t="s">
        <v>592</v>
      </c>
      <c r="C33" s="533" t="str">
        <f>+"Total (M"&amp;C29&amp;")"</f>
        <v>Total (M€)</v>
      </c>
      <c r="D33" s="534" t="str">
        <f>+"Specific ("&amp;C29&amp;"/"&amp;'Plant Overview'!J32&amp;")"</f>
        <v>Specific (€/kg/s)</v>
      </c>
      <c r="E33" s="83"/>
      <c r="F33" s="83"/>
      <c r="G33" s="83"/>
      <c r="H33" s="83"/>
      <c r="I33" s="83"/>
      <c r="J33" s="83"/>
      <c r="K33" s="83"/>
      <c r="L33" s="83"/>
      <c r="M33" s="83"/>
      <c r="N33" s="83"/>
      <c r="O33" s="83"/>
    </row>
    <row r="34" spans="1:15" ht="36" customHeight="1" x14ac:dyDescent="0.3">
      <c r="A34" s="83"/>
      <c r="B34" s="568" t="s">
        <v>590</v>
      </c>
      <c r="C34" s="571">
        <v>93.015693664550781</v>
      </c>
      <c r="D34" s="571">
        <f>+C34/'Cash Flow Analysis'!D5*1000</f>
        <v>97478.248049156129</v>
      </c>
      <c r="E34" s="83"/>
      <c r="F34" s="83"/>
      <c r="G34" s="83"/>
      <c r="H34" s="83"/>
      <c r="I34" s="83"/>
      <c r="J34" s="83"/>
      <c r="K34" s="83"/>
      <c r="L34" s="83"/>
      <c r="M34" s="83"/>
      <c r="N34" s="83"/>
      <c r="O34" s="83"/>
    </row>
    <row r="35" spans="1:15" ht="36" customHeight="1" x14ac:dyDescent="0.3">
      <c r="A35" s="83"/>
      <c r="B35" s="568" t="s">
        <v>591</v>
      </c>
      <c r="C35" s="571">
        <v>105.26512908935547</v>
      </c>
      <c r="D35" s="572">
        <f>+C35/'Cash Flow Analysis'!D5*1000</f>
        <v>110315.36679502534</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1027" t="s">
        <v>1106</v>
      </c>
      <c r="C37" s="436" t="s">
        <v>594</v>
      </c>
      <c r="D37" s="257"/>
      <c r="E37" s="83"/>
      <c r="F37" s="83"/>
      <c r="G37" s="83"/>
      <c r="H37" s="83"/>
      <c r="I37" s="83"/>
      <c r="J37" s="83"/>
      <c r="K37" s="83"/>
      <c r="L37" s="83"/>
      <c r="M37" s="83"/>
      <c r="N37" s="83"/>
      <c r="O37" s="83"/>
    </row>
    <row r="38" spans="1:15" ht="36" customHeight="1" x14ac:dyDescent="0.3">
      <c r="A38" s="83"/>
      <c r="B38" s="1033"/>
      <c r="C38" s="292" t="s">
        <v>595</v>
      </c>
      <c r="D38" s="257"/>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ignoredErrors>
    <ignoredError sqref="D4:K5 D14:J14 D13:E13 D12:J12 D6 D7:J7 D8:J8 D9:J9 D10:J10 D11:J11 G6:J6" calculatedColumn="1"/>
    <ignoredError sqref="F13:J13" formula="1"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4" r:id="rId7" name="Button 10">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mc:AlternateContent xmlns:mc="http://schemas.openxmlformats.org/markup-compatibility/2006">
          <mc:Choice Requires="x14">
            <control shapeId="41995" r:id="rId8" name="Button 11">
              <controlPr defaultSize="0" print="0" autoFill="0" autoPict="0" macro="[0]!UpTot">
                <anchor moveWithCells="1" sizeWithCells="1">
                  <from>
                    <xdr:col>2</xdr:col>
                    <xdr:colOff>30480</xdr:colOff>
                    <xdr:row>0</xdr:row>
                    <xdr:rowOff>30480</xdr:rowOff>
                  </from>
                  <to>
                    <xdr:col>2</xdr:col>
                    <xdr:colOff>3108960</xdr:colOff>
                    <xdr:row>0</xdr:row>
                    <xdr:rowOff>365760</xdr:rowOff>
                  </to>
                </anchor>
              </controlPr>
            </control>
          </mc:Choice>
        </mc:AlternateContent>
      </controls>
    </mc:Choice>
  </mc:AlternateContent>
  <tableParts count="2">
    <tablePart r:id="rId9"/>
    <tablePart r:id="rId10"/>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AG53"/>
  <sheetViews>
    <sheetView showGridLines="0" zoomScale="40" zoomScaleNormal="40" workbookViewId="0">
      <selection activeCell="B2" sqref="B2:C3"/>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16" width="25" bestFit="1" customWidth="1"/>
    <col min="17" max="21" width="19.109375" customWidth="1"/>
    <col min="23" max="23" width="11.109375" style="92"/>
    <col min="29" max="31" width="20" customWidth="1"/>
  </cols>
  <sheetData>
    <row r="1" spans="1:33" ht="21" customHeight="1" x14ac:dyDescent="0.3">
      <c r="H1"/>
    </row>
    <row r="2" spans="1:33" ht="21" customHeight="1" x14ac:dyDescent="0.3">
      <c r="A2" s="83"/>
      <c r="B2" s="1243" t="s">
        <v>574</v>
      </c>
      <c r="C2" s="1243"/>
      <c r="D2" s="105"/>
      <c r="E2" s="105"/>
      <c r="F2" s="105"/>
      <c r="G2" s="105"/>
      <c r="H2" s="105"/>
      <c r="I2" s="105"/>
      <c r="J2" s="83"/>
      <c r="K2" s="83"/>
      <c r="L2" s="83"/>
      <c r="M2" s="83"/>
      <c r="N2" s="83"/>
      <c r="O2" s="83"/>
      <c r="P2" s="83"/>
      <c r="Q2" s="83"/>
      <c r="R2" s="83"/>
      <c r="S2" s="1102" t="s">
        <v>643</v>
      </c>
      <c r="T2" s="1103"/>
      <c r="U2" s="1103"/>
      <c r="V2" s="1103"/>
      <c r="W2" s="1103"/>
      <c r="X2" s="1103"/>
      <c r="Y2" s="1104"/>
    </row>
    <row r="3" spans="1:33" ht="21" customHeight="1" x14ac:dyDescent="0.3">
      <c r="A3" s="83"/>
      <c r="B3" s="1243"/>
      <c r="C3" s="1243"/>
      <c r="D3" s="105"/>
      <c r="E3" s="105"/>
      <c r="F3" s="105"/>
      <c r="G3" s="105"/>
      <c r="H3" s="105"/>
      <c r="I3" s="105"/>
      <c r="J3" s="463"/>
      <c r="K3" s="463"/>
      <c r="L3" s="463"/>
      <c r="M3" s="105"/>
      <c r="N3" s="83"/>
      <c r="O3" s="83"/>
      <c r="P3" s="1116" t="s">
        <v>267</v>
      </c>
      <c r="Q3" s="1117"/>
      <c r="T3" s="83"/>
      <c r="U3" s="83"/>
      <c r="V3" s="83"/>
    </row>
    <row r="4" spans="1:33" ht="21" customHeight="1" x14ac:dyDescent="0.3">
      <c r="A4" s="83"/>
      <c r="B4" s="1232" t="s">
        <v>495</v>
      </c>
      <c r="C4" s="1233"/>
      <c r="D4" s="105"/>
      <c r="E4" s="105"/>
      <c r="F4" s="259" t="s">
        <v>577</v>
      </c>
      <c r="G4" s="260" t="s">
        <v>578</v>
      </c>
      <c r="H4" s="105"/>
      <c r="I4" s="105"/>
      <c r="J4" s="105"/>
      <c r="K4" s="247"/>
      <c r="L4" s="245"/>
      <c r="M4" s="242"/>
      <c r="N4" s="83"/>
      <c r="O4" s="83"/>
      <c r="P4" s="448"/>
      <c r="Q4" s="395" t="s">
        <v>262</v>
      </c>
      <c r="S4" s="128" t="s">
        <v>686</v>
      </c>
      <c r="T4" s="129" t="s">
        <v>359</v>
      </c>
      <c r="U4" s="1181" t="s">
        <v>579</v>
      </c>
      <c r="V4" s="1182"/>
      <c r="W4" s="1182"/>
      <c r="X4" s="1182"/>
      <c r="Y4" s="1183"/>
    </row>
    <row r="5" spans="1:33" ht="21" customHeight="1" x14ac:dyDescent="0.3">
      <c r="A5" s="83"/>
      <c r="B5" s="1234"/>
      <c r="C5" s="1235"/>
      <c r="D5" s="105"/>
      <c r="E5" s="258" t="s">
        <v>457</v>
      </c>
      <c r="F5" s="257"/>
      <c r="G5" s="257"/>
      <c r="H5" s="105"/>
      <c r="I5" s="105"/>
      <c r="J5" s="105"/>
      <c r="K5" s="242"/>
      <c r="L5" s="245"/>
      <c r="M5" s="242"/>
      <c r="N5" s="83"/>
      <c r="O5" s="83"/>
      <c r="P5" s="521"/>
      <c r="Q5" s="395" t="s">
        <v>263</v>
      </c>
      <c r="S5" s="866">
        <v>10</v>
      </c>
      <c r="T5" s="917" t="s">
        <v>984</v>
      </c>
      <c r="U5" s="1219" t="s">
        <v>985</v>
      </c>
      <c r="V5" s="1240"/>
      <c r="W5" s="1240"/>
      <c r="X5" s="1240"/>
      <c r="Y5" s="1241"/>
    </row>
    <row r="6" spans="1:33" ht="21" customHeight="1" x14ac:dyDescent="0.3">
      <c r="A6" s="83"/>
      <c r="B6" s="1232"/>
      <c r="C6" s="1233"/>
      <c r="D6" s="105"/>
      <c r="E6" s="258" t="s">
        <v>576</v>
      </c>
      <c r="F6" s="257"/>
      <c r="G6" s="257"/>
      <c r="H6" s="105"/>
      <c r="I6" s="105"/>
      <c r="J6" s="105"/>
      <c r="K6" s="456"/>
      <c r="L6" s="245"/>
      <c r="M6" s="242"/>
      <c r="N6" s="83"/>
      <c r="O6" s="83"/>
      <c r="P6" s="522"/>
      <c r="Q6" s="473" t="s">
        <v>264</v>
      </c>
      <c r="S6" s="904">
        <v>11</v>
      </c>
      <c r="T6" s="918" t="s">
        <v>1033</v>
      </c>
      <c r="U6" s="1219" t="s">
        <v>1034</v>
      </c>
      <c r="V6" s="1240"/>
      <c r="W6" s="1240"/>
      <c r="X6" s="1240"/>
      <c r="Y6" s="1241"/>
    </row>
    <row r="7" spans="1:33" s="83" customFormat="1" ht="21" customHeight="1" x14ac:dyDescent="0.3">
      <c r="B7" s="1236"/>
      <c r="C7" s="1237"/>
      <c r="D7" s="105"/>
      <c r="E7" s="258" t="s">
        <v>458</v>
      </c>
      <c r="F7" s="257"/>
      <c r="G7" s="257"/>
      <c r="H7" s="105"/>
      <c r="I7" s="105"/>
      <c r="J7" s="105"/>
      <c r="K7" s="242"/>
      <c r="L7" s="245"/>
      <c r="M7" s="242"/>
      <c r="P7" s="523"/>
      <c r="Q7" s="510" t="s">
        <v>268</v>
      </c>
      <c r="S7" s="628"/>
      <c r="T7" s="629"/>
      <c r="U7" s="1193"/>
      <c r="V7" s="1194"/>
      <c r="W7" s="1194"/>
      <c r="X7" s="1194"/>
      <c r="Y7" s="1195"/>
    </row>
    <row r="8" spans="1:33" s="83" customFormat="1" ht="21" customHeight="1" x14ac:dyDescent="0.3">
      <c r="B8" s="1236"/>
      <c r="C8" s="1237"/>
      <c r="D8" s="105"/>
      <c r="E8" s="1232" t="s">
        <v>727</v>
      </c>
      <c r="F8" s="1238"/>
      <c r="G8" s="1233"/>
      <c r="H8" s="105"/>
      <c r="I8" s="105"/>
      <c r="J8" s="105"/>
      <c r="K8" s="242"/>
      <c r="L8" s="245"/>
      <c r="M8" s="242"/>
      <c r="S8" s="628"/>
      <c r="T8" s="629"/>
      <c r="U8" s="1193"/>
      <c r="V8" s="1194"/>
      <c r="W8" s="1194"/>
      <c r="X8" s="1194"/>
      <c r="Y8" s="1195"/>
    </row>
    <row r="9" spans="1:33" ht="21" customHeight="1" x14ac:dyDescent="0.3">
      <c r="A9" s="83"/>
      <c r="B9" s="1234"/>
      <c r="C9" s="1235"/>
      <c r="D9" s="460"/>
      <c r="E9" s="1234"/>
      <c r="F9" s="1239"/>
      <c r="G9" s="1235"/>
      <c r="H9" s="105"/>
      <c r="I9" s="105"/>
      <c r="J9" s="242"/>
      <c r="K9" s="242"/>
      <c r="L9" s="242"/>
      <c r="M9" s="242"/>
      <c r="N9" s="83"/>
      <c r="O9" s="83"/>
      <c r="P9" s="277" t="s">
        <v>679</v>
      </c>
      <c r="Q9" s="574">
        <f>+'Cost Conversion'!L2</f>
        <v>1.2</v>
      </c>
      <c r="S9" s="628"/>
      <c r="T9" s="629"/>
      <c r="U9" s="1193"/>
      <c r="V9" s="1194"/>
      <c r="W9" s="1194"/>
      <c r="X9" s="1194"/>
      <c r="Y9" s="1195"/>
    </row>
    <row r="10" spans="1:33" ht="21" customHeight="1" x14ac:dyDescent="0.3">
      <c r="A10" s="83"/>
      <c r="B10" s="105"/>
      <c r="C10" s="105"/>
      <c r="D10" s="460"/>
      <c r="E10" s="105"/>
      <c r="F10" s="244"/>
      <c r="G10" s="105"/>
      <c r="H10" s="105"/>
      <c r="I10" s="105"/>
      <c r="J10" s="242"/>
      <c r="K10" s="242"/>
      <c r="L10" s="242"/>
      <c r="M10" s="242"/>
      <c r="N10" s="83"/>
      <c r="O10" s="83"/>
      <c r="P10" s="277" t="s">
        <v>1062</v>
      </c>
      <c r="Q10" s="86">
        <v>8766</v>
      </c>
      <c r="T10" s="241"/>
      <c r="U10" s="241"/>
      <c r="V10" s="241"/>
    </row>
    <row r="11" spans="1:33" ht="21" customHeight="1" x14ac:dyDescent="0.3">
      <c r="A11" s="83"/>
      <c r="B11" s="105"/>
      <c r="C11" s="105"/>
      <c r="D11" s="460"/>
      <c r="E11" s="105"/>
      <c r="F11" s="244"/>
      <c r="G11" s="105"/>
      <c r="H11" s="105"/>
      <c r="I11" s="105"/>
      <c r="J11" s="242"/>
      <c r="K11" s="242"/>
      <c r="L11" s="242"/>
      <c r="M11" s="242"/>
      <c r="N11" s="83"/>
      <c r="O11" s="83"/>
      <c r="T11" s="241"/>
      <c r="U11" s="241"/>
      <c r="V11" s="241"/>
    </row>
    <row r="12" spans="1:33" ht="21" customHeight="1" x14ac:dyDescent="0.3">
      <c r="A12" s="83"/>
      <c r="B12" s="105"/>
      <c r="C12" s="83"/>
      <c r="D12" s="460"/>
      <c r="E12" s="105"/>
      <c r="F12" s="244"/>
      <c r="G12" s="105"/>
      <c r="H12" s="105"/>
      <c r="J12" s="242"/>
      <c r="K12" s="242"/>
      <c r="L12" s="242"/>
      <c r="M12" s="242"/>
      <c r="N12" s="83"/>
      <c r="O12" s="83"/>
      <c r="T12" s="241"/>
      <c r="U12" s="241"/>
      <c r="V12" s="241"/>
    </row>
    <row r="13" spans="1:33" ht="21" customHeight="1" x14ac:dyDescent="0.3">
      <c r="A13" s="83"/>
      <c r="B13" s="83"/>
      <c r="C13" s="83"/>
      <c r="D13" s="242"/>
      <c r="E13" s="242"/>
      <c r="F13" s="242"/>
      <c r="G13" s="242"/>
      <c r="H13" s="105"/>
      <c r="I13" s="105"/>
      <c r="J13" s="250"/>
      <c r="K13" s="244"/>
      <c r="L13" s="83"/>
      <c r="M13" s="83"/>
      <c r="N13" s="83"/>
      <c r="O13" s="83"/>
      <c r="P13" s="241"/>
      <c r="Q13" s="241"/>
      <c r="R13" s="241"/>
      <c r="S13" s="241"/>
      <c r="T13" s="241"/>
      <c r="U13" s="241"/>
      <c r="V13" s="241"/>
      <c r="AF13" s="844"/>
      <c r="AG13" s="844"/>
    </row>
    <row r="14" spans="1:33" ht="21" customHeight="1" x14ac:dyDescent="0.3">
      <c r="A14" s="83"/>
      <c r="B14" s="1229" t="s">
        <v>448</v>
      </c>
      <c r="C14" s="1230"/>
      <c r="D14" s="1230"/>
      <c r="E14" s="1230"/>
      <c r="F14" s="1230"/>
      <c r="G14" s="1231"/>
      <c r="H14" s="203"/>
      <c r="I14" s="1229" t="s">
        <v>695</v>
      </c>
      <c r="J14" s="1230"/>
      <c r="K14" s="1230"/>
      <c r="L14" s="1230"/>
      <c r="M14" s="1230"/>
      <c r="N14" s="1231"/>
      <c r="O14" s="83"/>
      <c r="P14" s="1102" t="s">
        <v>450</v>
      </c>
      <c r="Q14" s="1103"/>
      <c r="R14" s="1103"/>
      <c r="S14" s="1103"/>
      <c r="T14" s="1103"/>
      <c r="U14" s="1104"/>
      <c r="V14" s="241"/>
      <c r="W14" s="468" t="str">
        <f>+B19</f>
        <v>Total FOM</v>
      </c>
      <c r="AC14" s="1242" t="s">
        <v>1038</v>
      </c>
      <c r="AD14" s="1043"/>
      <c r="AE14" s="1044"/>
    </row>
    <row r="15" spans="1:33" ht="21" customHeight="1" x14ac:dyDescent="0.3">
      <c r="A15" s="83"/>
      <c r="B15" s="575" t="s">
        <v>673</v>
      </c>
      <c r="C15" s="576" t="s">
        <v>664</v>
      </c>
      <c r="D15" s="575" t="s">
        <v>671</v>
      </c>
      <c r="E15" s="576" t="s">
        <v>575</v>
      </c>
      <c r="F15" s="575" t="s">
        <v>672</v>
      </c>
      <c r="G15" s="658" t="s">
        <v>704</v>
      </c>
      <c r="H15" s="461"/>
      <c r="I15" s="575" t="s">
        <v>673</v>
      </c>
      <c r="J15" s="576" t="s">
        <v>664</v>
      </c>
      <c r="K15" s="575" t="s">
        <v>671</v>
      </c>
      <c r="L15" s="576" t="s">
        <v>575</v>
      </c>
      <c r="M15" s="575" t="s">
        <v>672</v>
      </c>
      <c r="N15" s="577" t="s">
        <v>705</v>
      </c>
      <c r="O15" s="462"/>
      <c r="P15" s="578" t="s">
        <v>673</v>
      </c>
      <c r="Q15" s="579" t="s">
        <v>664</v>
      </c>
      <c r="R15" s="580" t="s">
        <v>671</v>
      </c>
      <c r="S15" s="579" t="s">
        <v>575</v>
      </c>
      <c r="T15" s="580" t="s">
        <v>672</v>
      </c>
      <c r="U15" s="581" t="s">
        <v>705</v>
      </c>
      <c r="V15" s="241"/>
      <c r="W15" s="468" t="str">
        <f>+I16</f>
        <v>NG</v>
      </c>
      <c r="AC15" s="885" t="s">
        <v>883</v>
      </c>
      <c r="AD15" s="222">
        <v>3.843</v>
      </c>
      <c r="AE15" s="887" t="s">
        <v>743</v>
      </c>
    </row>
    <row r="16" spans="1:33" ht="21" customHeight="1" x14ac:dyDescent="0.3">
      <c r="A16" s="83"/>
      <c r="B16" s="889" t="s">
        <v>879</v>
      </c>
      <c r="C16" s="665">
        <v>20</v>
      </c>
      <c r="D16" s="889" t="s">
        <v>1024</v>
      </c>
      <c r="E16" s="665">
        <v>60000</v>
      </c>
      <c r="F16" s="842" t="s">
        <v>1025</v>
      </c>
      <c r="G16" s="168">
        <f>+C16*E16/10^6</f>
        <v>1.2</v>
      </c>
      <c r="H16" s="203"/>
      <c r="I16" s="97" t="str">
        <f>+'Plant Overview'!H72</f>
        <v>NG</v>
      </c>
      <c r="J16" s="392">
        <f>+'Plant Overview'!E58*3600*Q10*'Plant Overview'!I58/10^6</f>
        <v>4070646.3815999995</v>
      </c>
      <c r="K16" s="708" t="s">
        <v>891</v>
      </c>
      <c r="L16" s="665">
        <f>+'Cash Flow Analysis'!G43</f>
        <v>6.5</v>
      </c>
      <c r="M16" s="843" t="s">
        <v>878</v>
      </c>
      <c r="N16" s="519">
        <f>+J16*L16/10^6</f>
        <v>26.459201480399997</v>
      </c>
      <c r="O16" s="83"/>
      <c r="P16" s="511" t="s">
        <v>736</v>
      </c>
      <c r="Q16" s="392">
        <f>+'Plant Overview'!E42*3600*Q10/1000</f>
        <v>13133.596109564582</v>
      </c>
      <c r="R16" s="511" t="s">
        <v>899</v>
      </c>
      <c r="S16" s="665">
        <v>50</v>
      </c>
      <c r="T16" s="842" t="s">
        <v>900</v>
      </c>
      <c r="U16" s="168">
        <f>+Q16*S16/10^6</f>
        <v>0.65667980547822902</v>
      </c>
      <c r="V16" s="241"/>
      <c r="W16" s="468" t="str">
        <f>+I17</f>
        <v>-</v>
      </c>
      <c r="AC16" s="888" t="s">
        <v>894</v>
      </c>
      <c r="AD16" s="168">
        <v>7.665</v>
      </c>
      <c r="AE16" s="890" t="s">
        <v>743</v>
      </c>
    </row>
    <row r="17" spans="1:31" ht="21" customHeight="1" x14ac:dyDescent="0.35">
      <c r="A17" s="83"/>
      <c r="B17" s="889" t="s">
        <v>880</v>
      </c>
      <c r="C17" s="175">
        <f>+'Plant CAPEX'!K13</f>
        <v>93.015693664550781</v>
      </c>
      <c r="D17" s="889" t="s">
        <v>590</v>
      </c>
      <c r="E17" s="846">
        <v>2.5000000000000001E-2</v>
      </c>
      <c r="F17" s="254" t="s">
        <v>1026</v>
      </c>
      <c r="G17" s="168">
        <f>+C17*E17</f>
        <v>2.3253923416137696</v>
      </c>
      <c r="H17" s="248"/>
      <c r="I17" s="438" t="str">
        <f>+'Plant Overview'!H73</f>
        <v>-</v>
      </c>
      <c r="J17" s="266"/>
      <c r="K17" s="130"/>
      <c r="L17" s="665"/>
      <c r="M17" s="438"/>
      <c r="N17" s="518">
        <f>+J17*L17/10^6</f>
        <v>0</v>
      </c>
      <c r="O17" s="83"/>
      <c r="P17" s="511" t="s">
        <v>889</v>
      </c>
      <c r="Q17" s="392">
        <f>+AD22*-1*Q10</f>
        <v>43884.572239079804</v>
      </c>
      <c r="R17" s="511" t="s">
        <v>901</v>
      </c>
      <c r="S17" s="665">
        <f>+'Cash Flow Analysis'!G44</f>
        <v>60</v>
      </c>
      <c r="T17" s="842" t="s">
        <v>902</v>
      </c>
      <c r="U17" s="168">
        <f>+Q17*S17/10^6</f>
        <v>2.6330743343447884</v>
      </c>
      <c r="V17" s="241"/>
      <c r="W17" s="468" t="str">
        <f>+P25</f>
        <v>Total VOM (exl. Fuel &amp; CO2 tax)</v>
      </c>
      <c r="AC17" s="1178" t="s">
        <v>892</v>
      </c>
      <c r="AD17" s="1179"/>
      <c r="AE17" s="1180"/>
    </row>
    <row r="18" spans="1:31" ht="21" customHeight="1" x14ac:dyDescent="0.35">
      <c r="A18" s="83"/>
      <c r="B18" s="889" t="s">
        <v>881</v>
      </c>
      <c r="C18" s="175">
        <f>+'Plant CAPEX'!K13</f>
        <v>93.015693664550781</v>
      </c>
      <c r="D18" s="889" t="s">
        <v>590</v>
      </c>
      <c r="E18" s="845">
        <v>0.01</v>
      </c>
      <c r="F18" s="254" t="s">
        <v>1026</v>
      </c>
      <c r="G18" s="168">
        <f>+C18*E18</f>
        <v>0.9301569366455078</v>
      </c>
      <c r="H18" s="248"/>
      <c r="I18" s="105"/>
      <c r="J18" s="83"/>
      <c r="K18" s="83"/>
      <c r="L18" s="241"/>
      <c r="M18" s="241"/>
      <c r="N18" s="241"/>
      <c r="O18" s="241"/>
      <c r="P18" s="708" t="s">
        <v>882</v>
      </c>
      <c r="Q18" s="392">
        <f>+AD21*3600*Q10/1000</f>
        <v>223593.18387264482</v>
      </c>
      <c r="R18" s="708" t="s">
        <v>899</v>
      </c>
      <c r="S18" s="665">
        <v>10</v>
      </c>
      <c r="T18" s="842" t="s">
        <v>900</v>
      </c>
      <c r="U18" s="168">
        <f>+Q18*S18/10^6</f>
        <v>2.2359318387264482</v>
      </c>
      <c r="V18" s="241"/>
      <c r="AC18" s="888" t="s">
        <v>770</v>
      </c>
      <c r="AD18" s="168">
        <f>+('Unit-400 - WGS'!Q48+'Unit-400 - WGS'!Q49)/AD19</f>
        <v>8.2191666666666663</v>
      </c>
      <c r="AE18" s="890" t="s">
        <v>895</v>
      </c>
    </row>
    <row r="19" spans="1:31" ht="21" customHeight="1" x14ac:dyDescent="0.3">
      <c r="A19" s="83"/>
      <c r="B19" s="1204" t="s">
        <v>449</v>
      </c>
      <c r="C19" s="1205"/>
      <c r="D19" s="1205"/>
      <c r="E19" s="1205"/>
      <c r="F19" s="1206"/>
      <c r="G19" s="518">
        <f>SUM(Tabla60[cost/year])</f>
        <v>4.4555492782592774</v>
      </c>
      <c r="H19" s="203"/>
      <c r="I19" s="105"/>
      <c r="J19" s="83"/>
      <c r="K19" s="83"/>
      <c r="L19" s="241"/>
      <c r="M19" s="241"/>
      <c r="N19" s="241"/>
      <c r="O19" s="241"/>
      <c r="P19" s="708" t="s">
        <v>883</v>
      </c>
      <c r="Q19" s="392">
        <f>+AD15*3600*Q10/1000</f>
        <v>121275.85679999999</v>
      </c>
      <c r="R19" s="708" t="s">
        <v>899</v>
      </c>
      <c r="S19" s="665">
        <v>6</v>
      </c>
      <c r="T19" s="842" t="s">
        <v>900</v>
      </c>
      <c r="U19" s="168">
        <f>+Q19*S19/10^6</f>
        <v>0.72765514079999993</v>
      </c>
      <c r="V19" s="241"/>
      <c r="AC19" s="888" t="s">
        <v>893</v>
      </c>
      <c r="AD19" s="889">
        <v>3</v>
      </c>
      <c r="AE19" s="890" t="s">
        <v>898</v>
      </c>
    </row>
    <row r="20" spans="1:31" ht="21" customHeight="1" x14ac:dyDescent="0.3">
      <c r="A20" s="83"/>
      <c r="B20" s="236"/>
      <c r="C20" s="236"/>
      <c r="D20" s="236"/>
      <c r="E20" s="236"/>
      <c r="F20" s="236"/>
      <c r="G20" s="163"/>
      <c r="H20" s="203"/>
      <c r="I20" s="105"/>
      <c r="J20" s="83"/>
      <c r="K20" s="83"/>
      <c r="L20" s="241"/>
      <c r="M20" s="241"/>
      <c r="N20" s="241"/>
      <c r="O20" s="241"/>
      <c r="P20" s="708" t="s">
        <v>884</v>
      </c>
      <c r="Q20" s="392">
        <f>+AD16*3600*Q10/1000</f>
        <v>241889.00399999999</v>
      </c>
      <c r="R20" s="708" t="s">
        <v>899</v>
      </c>
      <c r="S20" s="665">
        <v>0.35</v>
      </c>
      <c r="T20" s="842" t="s">
        <v>900</v>
      </c>
      <c r="U20" s="168">
        <f>+Q20*S20/10^6</f>
        <v>8.4661151399999982E-2</v>
      </c>
      <c r="V20" s="241"/>
      <c r="AC20" s="888" t="s">
        <v>885</v>
      </c>
      <c r="AD20" s="168">
        <f>+'Unit-200 - GSR'!Q49/AD19</f>
        <v>9.0865900617434257</v>
      </c>
      <c r="AE20" s="890" t="s">
        <v>899</v>
      </c>
    </row>
    <row r="21" spans="1:31" ht="21" customHeight="1" x14ac:dyDescent="0.3">
      <c r="A21" s="83"/>
      <c r="H21" s="247"/>
      <c r="I21" s="105"/>
      <c r="J21" s="83"/>
      <c r="K21" s="83"/>
      <c r="L21" s="241"/>
      <c r="M21" s="241"/>
      <c r="N21" s="241"/>
      <c r="O21" s="241"/>
      <c r="P21" s="708" t="s">
        <v>885</v>
      </c>
      <c r="Q21" s="392">
        <f>+AD20</f>
        <v>9.0865900617434257</v>
      </c>
      <c r="R21" s="708" t="s">
        <v>899</v>
      </c>
      <c r="S21" s="665">
        <f>+'Unit-200 - GSR'!O49*10^6</f>
        <v>15000</v>
      </c>
      <c r="T21" s="842" t="s">
        <v>904</v>
      </c>
      <c r="U21" s="168">
        <f>+Q21*S21/10^6/Q9</f>
        <v>0.11358237577179282</v>
      </c>
      <c r="V21" s="241"/>
      <c r="AC21" s="888" t="s">
        <v>897</v>
      </c>
      <c r="AD21" s="168">
        <v>7.0852404451746898</v>
      </c>
      <c r="AE21" s="890" t="s">
        <v>743</v>
      </c>
    </row>
    <row r="22" spans="1:31" ht="21" customHeight="1" x14ac:dyDescent="0.3">
      <c r="P22" s="708" t="s">
        <v>886</v>
      </c>
      <c r="Q22" s="392">
        <f>+AD18</f>
        <v>8.2191666666666663</v>
      </c>
      <c r="R22" s="708" t="s">
        <v>895</v>
      </c>
      <c r="S22" s="665">
        <f>+'Unit-400 - WGS'!X37</f>
        <v>16100</v>
      </c>
      <c r="T22" s="842" t="s">
        <v>905</v>
      </c>
      <c r="U22" s="168">
        <f>+Q22*S22/10^6/Q9</f>
        <v>0.11027381944444442</v>
      </c>
      <c r="AC22" s="888" t="s">
        <v>760</v>
      </c>
      <c r="AD22" s="168">
        <f>+'Plant Overview'!E23</f>
        <v>-5.0062254436550084</v>
      </c>
      <c r="AE22" s="890" t="s">
        <v>733</v>
      </c>
    </row>
    <row r="23" spans="1:31" ht="21" customHeight="1" x14ac:dyDescent="0.3">
      <c r="P23" s="708" t="s">
        <v>887</v>
      </c>
      <c r="Q23" s="392">
        <f>+AD28</f>
        <v>347.20245369863045</v>
      </c>
      <c r="R23" s="708" t="s">
        <v>896</v>
      </c>
      <c r="S23" s="665">
        <v>1.1000000000000001</v>
      </c>
      <c r="T23" s="708" t="s">
        <v>912</v>
      </c>
      <c r="U23" s="168">
        <f>+Q23*S23/10^6/Q9</f>
        <v>3.1826891589041128E-4</v>
      </c>
      <c r="AC23" s="888" t="s">
        <v>903</v>
      </c>
      <c r="AD23" s="171">
        <v>0.81615310544538899</v>
      </c>
      <c r="AE23" s="890" t="s">
        <v>743</v>
      </c>
    </row>
    <row r="24" spans="1:31" ht="21" customHeight="1" x14ac:dyDescent="0.3">
      <c r="P24" s="708" t="s">
        <v>888</v>
      </c>
      <c r="Q24" s="392">
        <f>+-1*AD23*3600*Q10/1000</f>
        <v>-25755.833240403412</v>
      </c>
      <c r="R24" s="708" t="s">
        <v>899</v>
      </c>
      <c r="S24" s="665">
        <v>2.1</v>
      </c>
      <c r="T24" s="708" t="s">
        <v>890</v>
      </c>
      <c r="U24" s="168">
        <f>+Q24*S24/10^6/Q9</f>
        <v>-4.5072708170705973E-2</v>
      </c>
      <c r="AC24" s="888" t="s">
        <v>907</v>
      </c>
      <c r="AD24" s="889">
        <v>34.9</v>
      </c>
      <c r="AE24" s="890" t="s">
        <v>906</v>
      </c>
    </row>
    <row r="25" spans="1:31" ht="21" customHeight="1" x14ac:dyDescent="0.3">
      <c r="P25" s="1204" t="s">
        <v>570</v>
      </c>
      <c r="Q25" s="1205"/>
      <c r="R25" s="1205"/>
      <c r="S25" s="1205"/>
      <c r="T25" s="1206"/>
      <c r="U25" s="520">
        <f>SUM(Tabla58[cost/year])</f>
        <v>6.5171040267108857</v>
      </c>
      <c r="AC25" s="888" t="s">
        <v>909</v>
      </c>
      <c r="AD25" s="392">
        <f>60310.6336862924/3600</f>
        <v>16.752953801747889</v>
      </c>
      <c r="AE25" s="890" t="s">
        <v>908</v>
      </c>
    </row>
    <row r="26" spans="1:31" ht="21" customHeight="1" x14ac:dyDescent="0.3">
      <c r="P26" s="1204" t="s">
        <v>493</v>
      </c>
      <c r="Q26" s="1205"/>
      <c r="R26" s="1205"/>
      <c r="S26" s="1205"/>
      <c r="T26" s="1205"/>
      <c r="U26" s="518">
        <v>0</v>
      </c>
      <c r="AC26" s="888" t="s">
        <v>893</v>
      </c>
      <c r="AD26" s="392">
        <v>3</v>
      </c>
      <c r="AE26" s="890" t="s">
        <v>451</v>
      </c>
    </row>
    <row r="27" spans="1:31" ht="21" customHeight="1" x14ac:dyDescent="0.3">
      <c r="P27" s="241"/>
      <c r="Q27" s="241"/>
      <c r="R27" s="241"/>
      <c r="S27" s="241"/>
      <c r="T27" s="241"/>
      <c r="U27" s="241"/>
      <c r="AC27" s="888" t="s">
        <v>910</v>
      </c>
      <c r="AD27" s="889">
        <v>0.5</v>
      </c>
      <c r="AE27" s="890" t="s">
        <v>911</v>
      </c>
    </row>
    <row r="28" spans="1:31" ht="21" customHeight="1" x14ac:dyDescent="0.3">
      <c r="P28" s="241"/>
      <c r="Q28" s="241"/>
      <c r="R28" s="241"/>
      <c r="S28" s="242"/>
      <c r="T28" s="241"/>
      <c r="U28" s="241"/>
      <c r="AC28" s="891" t="s">
        <v>1037</v>
      </c>
      <c r="AD28" s="451">
        <f>+AD24/AD25/AD26*AD27*1000</f>
        <v>347.20245369863045</v>
      </c>
      <c r="AE28" s="893" t="s">
        <v>896</v>
      </c>
    </row>
    <row r="29" spans="1:31" ht="21" customHeight="1" x14ac:dyDescent="0.3"/>
    <row r="30" spans="1:31" ht="21" customHeight="1" x14ac:dyDescent="0.3"/>
    <row r="31" spans="1:31" ht="21" customHeight="1" x14ac:dyDescent="0.3"/>
    <row r="32" spans="1:31"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20">
    <mergeCell ref="AC14:AE14"/>
    <mergeCell ref="AC17:AE17"/>
    <mergeCell ref="S2:Y2"/>
    <mergeCell ref="P3:Q3"/>
    <mergeCell ref="B2:C3"/>
    <mergeCell ref="P25:T25"/>
    <mergeCell ref="B14:G14"/>
    <mergeCell ref="P26:T26"/>
    <mergeCell ref="B19:F19"/>
    <mergeCell ref="B4:C5"/>
    <mergeCell ref="B6:C9"/>
    <mergeCell ref="E8:G9"/>
    <mergeCell ref="I14:N14"/>
    <mergeCell ref="P14:U14"/>
    <mergeCell ref="U4:Y4"/>
    <mergeCell ref="U5:Y5"/>
    <mergeCell ref="U6:Y6"/>
    <mergeCell ref="U7:Y7"/>
    <mergeCell ref="U8:Y8"/>
    <mergeCell ref="U9:Y9"/>
  </mergeCells>
  <phoneticPr fontId="14" type="noConversion"/>
  <hyperlinks>
    <hyperlink ref="U5" r:id="rId1" xr:uid="{09515D58-7000-4F22-A95E-4AC738EAD0CB}"/>
    <hyperlink ref="U6" r:id="rId2" location=".YMsc5GgzZEY" xr:uid="{BAFEA425-7B1F-497D-B7CF-59A86D6F9AF0}"/>
  </hyperlinks>
  <pageMargins left="0.7" right="0.7" top="0.75" bottom="0.75" header="0.3" footer="0.3"/>
  <pageSetup paperSize="9" orientation="portrait" horizontalDpi="1200" verticalDpi="1200" r:id="rId3"/>
  <ignoredErrors>
    <ignoredError sqref="U21:U24 G16" calculatedColumn="1"/>
  </ignoredErrors>
  <drawing r:id="rId4"/>
  <legacyDrawing r:id="rId5"/>
  <mc:AlternateContent xmlns:mc="http://schemas.openxmlformats.org/markup-compatibility/2006">
    <mc:Choice Requires="x14">
      <controls>
        <mc:AlternateContent xmlns:mc="http://schemas.openxmlformats.org/markup-compatibility/2006">
          <mc:Choice Requires="x14">
            <control shapeId="17412" r:id="rId6"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7"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8"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9"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10"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11"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2"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3"/>
    <tablePart r:id="rId14"/>
    <tablePart r:id="rId1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9"/>
  <sheetViews>
    <sheetView showGridLines="0" tabSelected="1" zoomScale="70" zoomScaleNormal="70" workbookViewId="0">
      <selection activeCell="B41" sqref="B41:K41"/>
    </sheetView>
  </sheetViews>
  <sheetFormatPr defaultColWidth="11.109375" defaultRowHeight="14.4" x14ac:dyDescent="0.3"/>
  <cols>
    <col min="1" max="1" width="5" customWidth="1"/>
    <col min="2" max="3" width="13.6640625" customWidth="1"/>
    <col min="4" max="46" width="12.6640625" customWidth="1"/>
    <col min="70" max="70" width="0" hidden="1" customWidth="1"/>
  </cols>
  <sheetData>
    <row r="1" spans="1:70" ht="25.95" customHeight="1" x14ac:dyDescent="0.3">
      <c r="B1" s="1262" t="s">
        <v>583</v>
      </c>
      <c r="C1" s="1263"/>
      <c r="D1" s="1263"/>
      <c r="E1" s="1264"/>
      <c r="G1" s="1260" t="s">
        <v>494</v>
      </c>
      <c r="H1" s="1261"/>
      <c r="I1" s="1260" t="s">
        <v>583</v>
      </c>
      <c r="J1" s="1261"/>
    </row>
    <row r="2" spans="1:70" ht="20.399999999999999" customHeight="1" x14ac:dyDescent="0.3">
      <c r="G2" s="667"/>
      <c r="H2" s="668"/>
      <c r="I2" s="671"/>
      <c r="J2" s="672"/>
      <c r="S2" s="246"/>
      <c r="T2" s="246"/>
      <c r="V2" s="246"/>
      <c r="BR2" t="s">
        <v>711</v>
      </c>
    </row>
    <row r="3" spans="1:70" ht="20.399999999999999" customHeight="1" x14ac:dyDescent="0.3">
      <c r="A3" s="83"/>
      <c r="B3" s="1096" t="s">
        <v>715</v>
      </c>
      <c r="C3" s="1097"/>
      <c r="D3" s="1097"/>
      <c r="E3" s="1265"/>
      <c r="F3" s="83"/>
      <c r="G3" s="669"/>
      <c r="H3" s="670"/>
      <c r="I3" s="673"/>
      <c r="J3" s="674"/>
      <c r="K3" s="83"/>
      <c r="S3" s="177"/>
      <c r="T3" s="177"/>
      <c r="U3" s="246"/>
      <c r="V3" s="177"/>
      <c r="W3" s="83"/>
      <c r="X3" s="83"/>
      <c r="Y3" s="83"/>
      <c r="Z3" s="83"/>
      <c r="AA3" s="83"/>
      <c r="AB3" s="83"/>
      <c r="AC3" s="83"/>
      <c r="AD3" s="83"/>
      <c r="AE3" s="83"/>
      <c r="AF3" s="83"/>
      <c r="AG3" s="83"/>
      <c r="AH3" s="83"/>
      <c r="AI3" s="83"/>
      <c r="AJ3" s="83"/>
      <c r="AK3" s="83"/>
      <c r="BR3" t="s">
        <v>662</v>
      </c>
    </row>
    <row r="4" spans="1:70" ht="20.399999999999999" customHeight="1" x14ac:dyDescent="0.3">
      <c r="A4" s="83"/>
      <c r="B4" s="1244" t="s">
        <v>571</v>
      </c>
      <c r="C4" s="1244"/>
      <c r="D4" s="682">
        <f>+'Plant Overview'!I72+'Plant Overview'!I73</f>
        <v>2.774</v>
      </c>
      <c r="E4" s="535" t="str">
        <f>+'Plant Overview'!J72</f>
        <v>kg/s</v>
      </c>
      <c r="F4" s="83"/>
      <c r="K4" s="83"/>
      <c r="U4" s="177"/>
      <c r="V4" s="177"/>
      <c r="W4" s="83"/>
      <c r="X4" s="83"/>
      <c r="Y4" s="83"/>
      <c r="Z4" s="83"/>
      <c r="AA4" s="83"/>
      <c r="AB4" s="83"/>
      <c r="AC4" s="83"/>
      <c r="AD4" s="83"/>
      <c r="AE4" s="83"/>
      <c r="AF4" s="83"/>
      <c r="AG4" s="83"/>
      <c r="AH4" s="83"/>
      <c r="AI4" s="83"/>
      <c r="AJ4" s="83"/>
      <c r="AK4" s="83"/>
      <c r="BR4" t="s">
        <v>710</v>
      </c>
    </row>
    <row r="5" spans="1:70" ht="20.399999999999999" customHeight="1" x14ac:dyDescent="0.3">
      <c r="A5" s="83"/>
      <c r="B5" s="1244" t="s">
        <v>665</v>
      </c>
      <c r="C5" s="1244"/>
      <c r="D5" s="682">
        <f>+'Plant Overview'!I32</f>
        <v>0.95421999806197799</v>
      </c>
      <c r="E5" s="535" t="str">
        <f>+'Plant Overview'!J32</f>
        <v>kg/s</v>
      </c>
      <c r="F5" s="83"/>
      <c r="G5" s="1249" t="s">
        <v>719</v>
      </c>
      <c r="H5" s="1249"/>
      <c r="I5" s="1117" t="s">
        <v>662</v>
      </c>
      <c r="J5" s="1118"/>
      <c r="K5" s="83"/>
      <c r="S5" s="177"/>
      <c r="T5" s="177"/>
      <c r="U5" s="177"/>
      <c r="V5" s="177"/>
      <c r="W5" s="83"/>
      <c r="X5" s="83"/>
      <c r="Y5" s="83"/>
      <c r="Z5" s="83"/>
      <c r="AA5" s="83"/>
      <c r="AB5" s="83"/>
      <c r="AC5" s="83"/>
      <c r="AD5" s="83"/>
      <c r="AE5" s="83"/>
      <c r="AF5" s="83"/>
      <c r="AG5" s="83"/>
      <c r="AH5" s="83"/>
      <c r="AI5" s="83"/>
      <c r="AJ5" s="83"/>
      <c r="AK5" s="83"/>
      <c r="BR5" t="s">
        <v>709</v>
      </c>
    </row>
    <row r="6" spans="1:70" ht="20.399999999999999" customHeight="1" x14ac:dyDescent="0.3">
      <c r="A6" s="83"/>
      <c r="B6" s="1244" t="s">
        <v>666</v>
      </c>
      <c r="C6" s="1244"/>
      <c r="D6" s="682">
        <f>D5/D4</f>
        <v>0.34398702165175848</v>
      </c>
      <c r="E6" s="86" t="str">
        <f>+E5&amp;" / "&amp;E4</f>
        <v>kg/s / kg/s</v>
      </c>
      <c r="F6" s="83"/>
      <c r="G6" s="1245" t="s">
        <v>662</v>
      </c>
      <c r="H6" s="1246"/>
      <c r="I6" s="681">
        <f>+IF(I5="LCOP",D20,"-")</f>
        <v>1.6767696458905514</v>
      </c>
      <c r="J6" s="676" t="str">
        <f>+'Plant Overview'!E9&amp;"/kg"</f>
        <v>€/kg</v>
      </c>
      <c r="K6" s="83"/>
      <c r="S6" s="177"/>
      <c r="T6" s="177"/>
      <c r="U6" s="177"/>
      <c r="V6" s="177"/>
      <c r="W6" s="83"/>
      <c r="X6" s="83"/>
      <c r="Y6" s="83"/>
      <c r="Z6" s="83"/>
      <c r="AA6" s="83"/>
      <c r="AB6" s="83"/>
      <c r="AC6" s="83"/>
      <c r="AD6" s="83"/>
      <c r="AE6" s="83"/>
      <c r="AF6" s="83"/>
      <c r="AG6" s="83"/>
      <c r="AH6" s="83"/>
      <c r="AI6" s="83"/>
      <c r="AJ6" s="83"/>
      <c r="AK6" s="83"/>
    </row>
    <row r="7" spans="1:70" ht="20.399999999999999" customHeight="1" x14ac:dyDescent="0.3">
      <c r="A7" s="83"/>
      <c r="B7" s="1244" t="s">
        <v>590</v>
      </c>
      <c r="C7" s="1244"/>
      <c r="D7" s="683">
        <f>+'Plant CAPEX'!K13</f>
        <v>93.015693664550781</v>
      </c>
      <c r="E7" s="684" t="str">
        <f>+J7</f>
        <v>M€</v>
      </c>
      <c r="F7" s="83"/>
      <c r="G7" s="1245" t="s">
        <v>709</v>
      </c>
      <c r="H7" s="1246"/>
      <c r="I7" s="677" t="str">
        <f>IF(I5="NPV",HLOOKUP(D16,C24:AT39,16),"-")</f>
        <v>-</v>
      </c>
      <c r="J7" s="86" t="str">
        <f>+"M"&amp;'Plant Overview'!E9</f>
        <v>M€</v>
      </c>
      <c r="K7" s="83"/>
      <c r="S7" s="177"/>
      <c r="T7" s="177"/>
      <c r="U7" s="177"/>
      <c r="V7" s="177"/>
      <c r="W7" s="83"/>
      <c r="X7" s="83"/>
      <c r="Y7" s="83"/>
      <c r="Z7" s="83"/>
      <c r="AA7" s="83"/>
      <c r="AB7" s="83"/>
      <c r="AC7" s="83"/>
      <c r="AD7" s="83"/>
      <c r="AE7" s="83"/>
      <c r="AF7" s="83"/>
      <c r="AG7" s="83"/>
      <c r="AH7" s="83"/>
      <c r="AI7" s="83"/>
      <c r="AJ7" s="83"/>
      <c r="AK7" s="83"/>
    </row>
    <row r="8" spans="1:70" ht="20.399999999999999" customHeight="1" x14ac:dyDescent="0.3">
      <c r="A8" s="83"/>
      <c r="B8" s="1266" t="s">
        <v>457</v>
      </c>
      <c r="C8" s="1266"/>
      <c r="D8" s="682">
        <f>+'Plant OPEX'!G19</f>
        <v>4.4555492782592774</v>
      </c>
      <c r="E8" s="684" t="str">
        <f>+"M"&amp;'Plant Overview'!$E$9&amp;"/y"</f>
        <v>M€/y</v>
      </c>
      <c r="F8" s="83"/>
      <c r="G8" s="1245" t="s">
        <v>710</v>
      </c>
      <c r="H8" s="1246"/>
      <c r="I8" s="679" t="str">
        <f>+IF(I5="IRR",D21,"-")</f>
        <v>-</v>
      </c>
      <c r="J8" s="680" t="str">
        <f>+E21</f>
        <v>%</v>
      </c>
      <c r="K8" s="83"/>
      <c r="S8" s="177"/>
      <c r="T8" s="177"/>
      <c r="U8" s="177"/>
      <c r="V8" s="177"/>
      <c r="W8" s="83"/>
      <c r="X8" s="83"/>
      <c r="Y8" s="83"/>
      <c r="Z8" s="83"/>
      <c r="AA8" s="83"/>
      <c r="AB8" s="83"/>
      <c r="AC8" s="83"/>
      <c r="AD8" s="83"/>
      <c r="AE8" s="83"/>
      <c r="AF8" s="83"/>
      <c r="AG8" s="83"/>
      <c r="AH8" s="83"/>
      <c r="AI8" s="83"/>
      <c r="AJ8" s="83"/>
      <c r="AK8" s="83"/>
    </row>
    <row r="9" spans="1:70" ht="20.399999999999999" customHeight="1" x14ac:dyDescent="0.3">
      <c r="A9" s="83"/>
      <c r="B9" s="1244" t="str">
        <f>+'Plant OPEX'!I16</f>
        <v>NG</v>
      </c>
      <c r="C9" s="1244"/>
      <c r="D9" s="682">
        <f>+'Plant OPEX'!N16</f>
        <v>26.459201480399997</v>
      </c>
      <c r="E9" s="684" t="str">
        <f>+"M"&amp;'Plant Overview'!$E$9&amp;"/y"</f>
        <v>M€/y</v>
      </c>
      <c r="F9" s="83"/>
      <c r="G9" s="1255" t="s">
        <v>716</v>
      </c>
      <c r="H9" s="1256"/>
      <c r="I9" s="380" cm="1">
        <f t="array" ref="I9">+MATCH(TRUE,G38:AT38&gt;0,0)</f>
        <v>9</v>
      </c>
      <c r="J9" s="86" t="s">
        <v>451</v>
      </c>
      <c r="K9" s="83"/>
      <c r="S9" s="177"/>
      <c r="T9" s="177"/>
      <c r="U9" s="177"/>
      <c r="V9" s="177"/>
      <c r="W9" s="83"/>
      <c r="X9" s="83"/>
      <c r="Y9" s="83"/>
      <c r="Z9" s="83"/>
      <c r="AA9" s="83"/>
      <c r="AB9" s="83"/>
      <c r="AC9" s="83"/>
      <c r="AD9" s="83"/>
      <c r="AE9" s="83"/>
      <c r="AF9" s="83"/>
      <c r="AG9" s="83"/>
      <c r="AH9" s="83"/>
      <c r="AI9" s="83"/>
      <c r="AJ9" s="83"/>
      <c r="AK9" s="83"/>
    </row>
    <row r="10" spans="1:70" ht="20.399999999999999" customHeight="1" x14ac:dyDescent="0.3">
      <c r="A10" s="83"/>
      <c r="B10" s="1244" t="str">
        <f>+'Plant OPEX'!I17</f>
        <v>-</v>
      </c>
      <c r="C10" s="1244"/>
      <c r="D10" s="682">
        <f>+'Plant OPEX'!N17</f>
        <v>0</v>
      </c>
      <c r="E10" s="684" t="str">
        <f>+"M"&amp;'Plant Overview'!$E$9&amp;"/y"</f>
        <v>M€/y</v>
      </c>
      <c r="F10" s="83"/>
      <c r="G10" s="1255" t="s">
        <v>717</v>
      </c>
      <c r="H10" s="1256"/>
      <c r="I10" s="86" t="str" cm="1">
        <f t="array" ref="I10">+IF(I5="LCOP","-",IF(I5="IRR","-",MATCH(TRUE,G39:AT39&gt;0,0)))</f>
        <v>-</v>
      </c>
      <c r="J10" s="86" t="str">
        <f>+J9</f>
        <v>years</v>
      </c>
      <c r="K10" s="83"/>
      <c r="S10" s="177"/>
      <c r="T10" s="177"/>
      <c r="U10" s="177"/>
      <c r="V10" s="177"/>
      <c r="W10" s="83"/>
      <c r="X10" s="83"/>
      <c r="Y10" s="83"/>
      <c r="Z10" s="83"/>
      <c r="AA10" s="83"/>
      <c r="AB10" s="83"/>
      <c r="AC10" s="83"/>
      <c r="AD10" s="83"/>
      <c r="AE10" s="83"/>
      <c r="AF10" s="83"/>
      <c r="AG10" s="83"/>
      <c r="AH10" s="83"/>
      <c r="AI10" s="83"/>
      <c r="AJ10" s="83"/>
      <c r="AK10" s="83"/>
    </row>
    <row r="11" spans="1:70" ht="20.399999999999999" customHeight="1" x14ac:dyDescent="0.3">
      <c r="A11" s="83"/>
      <c r="B11" s="1244" t="s">
        <v>458</v>
      </c>
      <c r="C11" s="1244"/>
      <c r="D11" s="682">
        <f>+'Plant OPEX'!U25</f>
        <v>6.5171040267108857</v>
      </c>
      <c r="E11" s="684" t="str">
        <f>+"M"&amp;'Plant Overview'!$E$9&amp;"/y"</f>
        <v>M€/y</v>
      </c>
      <c r="F11" s="83"/>
      <c r="G11" s="1247" t="s">
        <v>675</v>
      </c>
      <c r="H11" s="1248"/>
      <c r="I11" s="548" t="str">
        <f>+IF(I5="LCOP",IF(I15="","Ref.",(I6-I16)/(I15-H15)),"-")</f>
        <v>Ref.</v>
      </c>
      <c r="J11" s="86" t="str">
        <f>+'Plant Overview'!E9&amp;"/tCO2"</f>
        <v>€/tCO2</v>
      </c>
      <c r="K11" s="83"/>
      <c r="S11" s="177"/>
      <c r="T11" s="177"/>
      <c r="U11" s="177"/>
      <c r="V11" s="177"/>
      <c r="W11" s="83"/>
      <c r="X11" s="83"/>
      <c r="Y11" s="83"/>
      <c r="Z11" s="83"/>
      <c r="AA11" s="83"/>
      <c r="AB11" s="83"/>
      <c r="AC11" s="83"/>
      <c r="AD11" s="83"/>
      <c r="AE11" s="83"/>
      <c r="AF11" s="83"/>
      <c r="AG11" s="83"/>
      <c r="AH11" s="83"/>
      <c r="AI11" s="83"/>
      <c r="AJ11" s="83"/>
      <c r="AK11" s="83"/>
    </row>
    <row r="12" spans="1:70" ht="20.399999999999999" customHeight="1" x14ac:dyDescent="0.3">
      <c r="A12" s="83"/>
      <c r="F12" s="83"/>
      <c r="G12" s="83"/>
      <c r="H12" s="83"/>
      <c r="I12" s="83"/>
      <c r="J12" s="83"/>
      <c r="K12" s="83"/>
      <c r="L12" s="83"/>
      <c r="M12" s="83"/>
      <c r="N12" s="83"/>
      <c r="O12" s="83"/>
      <c r="P12" s="83"/>
      <c r="Q12" s="83"/>
      <c r="R12" s="83"/>
      <c r="S12" s="177"/>
      <c r="T12" s="177"/>
      <c r="U12" s="177"/>
      <c r="V12" s="177"/>
      <c r="W12" s="83"/>
      <c r="X12" s="83"/>
      <c r="Y12" s="83"/>
      <c r="Z12" s="83"/>
      <c r="AA12" s="83"/>
      <c r="AB12" s="83"/>
      <c r="AC12" s="83"/>
      <c r="AD12" s="83"/>
      <c r="AE12" s="83"/>
      <c r="AF12" s="83"/>
      <c r="AG12" s="83"/>
      <c r="AH12" s="83"/>
      <c r="AI12" s="83"/>
      <c r="AJ12" s="83"/>
      <c r="AK12" s="83"/>
    </row>
    <row r="13" spans="1:70" ht="20.399999999999999" customHeight="1" x14ac:dyDescent="0.3">
      <c r="A13" s="83"/>
      <c r="B13" s="1252" t="s">
        <v>635</v>
      </c>
      <c r="C13" s="1253"/>
      <c r="D13" s="1253"/>
      <c r="E13" s="1254"/>
      <c r="F13" s="83"/>
      <c r="G13" s="1252" t="s">
        <v>718</v>
      </c>
      <c r="H13" s="1253"/>
      <c r="I13" s="1253"/>
      <c r="J13" s="1254"/>
      <c r="K13" s="83"/>
      <c r="L13" s="83"/>
      <c r="M13" s="83"/>
      <c r="N13" s="83"/>
      <c r="O13" s="83"/>
      <c r="P13" s="83"/>
      <c r="Q13" s="83"/>
      <c r="R13" s="83"/>
      <c r="S13" s="177"/>
      <c r="T13" s="177"/>
      <c r="U13" s="177"/>
      <c r="V13" s="177"/>
      <c r="W13" s="83"/>
      <c r="X13" s="83"/>
      <c r="Y13" s="83"/>
      <c r="Z13" s="83"/>
      <c r="AA13" s="83"/>
      <c r="AB13" s="83"/>
      <c r="AC13" s="83"/>
      <c r="AD13" s="83"/>
      <c r="AE13" s="83"/>
      <c r="AF13" s="83"/>
      <c r="AG13" s="83"/>
      <c r="AH13" s="83"/>
      <c r="AI13" s="83"/>
      <c r="AJ13" s="83"/>
      <c r="AK13" s="83"/>
    </row>
    <row r="14" spans="1:70" ht="20.399999999999999" customHeight="1" x14ac:dyDescent="0.3">
      <c r="A14" s="83"/>
      <c r="B14" s="1259" t="s">
        <v>459</v>
      </c>
      <c r="C14" s="1259"/>
      <c r="D14" s="590">
        <v>0.65</v>
      </c>
      <c r="E14" s="86" t="s">
        <v>354</v>
      </c>
      <c r="F14" s="83"/>
      <c r="G14" s="678"/>
      <c r="H14" s="589" t="str">
        <f>+'Plant Overview'!E6</f>
        <v xml:space="preserve">GSR-H₂ </v>
      </c>
      <c r="I14" s="980" t="s">
        <v>358</v>
      </c>
      <c r="J14" s="395"/>
      <c r="K14" s="83"/>
      <c r="L14" s="83"/>
      <c r="M14" s="83"/>
      <c r="N14" s="83"/>
      <c r="O14" s="83"/>
      <c r="P14" s="83"/>
      <c r="Q14" s="83"/>
      <c r="R14" s="83"/>
      <c r="S14" s="177"/>
      <c r="T14" s="177"/>
      <c r="U14" s="177"/>
      <c r="V14" s="177"/>
      <c r="W14" s="83"/>
      <c r="X14" s="83"/>
      <c r="Y14" s="83"/>
      <c r="Z14" s="83"/>
      <c r="AA14" s="83"/>
      <c r="AB14" s="83"/>
      <c r="AC14" s="83"/>
      <c r="AD14" s="83"/>
      <c r="AE14" s="83"/>
      <c r="AF14" s="83"/>
      <c r="AG14" s="83"/>
      <c r="AH14" s="83"/>
      <c r="AI14" s="83"/>
      <c r="AJ14" s="83"/>
      <c r="AK14" s="83"/>
    </row>
    <row r="15" spans="1:70" ht="20.399999999999999" customHeight="1" x14ac:dyDescent="0.3">
      <c r="A15" s="83"/>
      <c r="B15" s="1259" t="s">
        <v>460</v>
      </c>
      <c r="C15" s="1259"/>
      <c r="D15" s="590">
        <v>0.9</v>
      </c>
      <c r="E15" s="86" t="s">
        <v>354</v>
      </c>
      <c r="F15" s="83"/>
      <c r="G15" s="685" t="s">
        <v>678</v>
      </c>
      <c r="H15" s="826">
        <f>+('Plant Overview'!I32/'Plant Overview'!I53)^-1</f>
        <v>0.43614527853024526</v>
      </c>
      <c r="I15" s="594"/>
      <c r="J15" s="537" t="str">
        <f>+'Plant Overview'!J53&amp;"/"&amp;'Plant Overview'!J32</f>
        <v>kg/s/kg/s</v>
      </c>
      <c r="K15" s="83"/>
      <c r="L15" s="83"/>
      <c r="M15" s="83"/>
      <c r="N15" s="83"/>
      <c r="O15" s="83"/>
      <c r="P15" s="83"/>
      <c r="Q15" s="83"/>
      <c r="R15" s="83"/>
      <c r="S15" s="177"/>
      <c r="T15" s="177"/>
      <c r="U15" s="177"/>
      <c r="V15" s="177"/>
      <c r="W15" s="83"/>
      <c r="X15" s="83"/>
      <c r="Y15" s="83"/>
      <c r="Z15" s="83"/>
      <c r="AA15" s="83"/>
      <c r="AB15" s="83"/>
      <c r="AC15" s="83"/>
      <c r="AD15" s="83"/>
      <c r="AE15" s="83"/>
      <c r="AF15" s="83"/>
      <c r="AG15" s="83"/>
      <c r="AH15" s="83"/>
      <c r="AI15" s="83"/>
      <c r="AJ15" s="83"/>
      <c r="AK15" s="83"/>
    </row>
    <row r="16" spans="1:70" ht="20.399999999999999" customHeight="1" x14ac:dyDescent="0.3">
      <c r="A16" s="83"/>
      <c r="B16" s="1258" t="s">
        <v>634</v>
      </c>
      <c r="C16" s="1258"/>
      <c r="D16" s="591">
        <v>30</v>
      </c>
      <c r="E16" s="86" t="s">
        <v>451</v>
      </c>
      <c r="F16" s="83"/>
      <c r="G16" s="685" t="str">
        <f>+G6</f>
        <v>LCOP</v>
      </c>
      <c r="H16" s="536">
        <f>+IF(I5="LCOP",SUM(H17:H22),"-")</f>
        <v>1.6767696458905523</v>
      </c>
      <c r="I16" s="594"/>
      <c r="J16" s="537" t="str">
        <f>+J6</f>
        <v>€/kg</v>
      </c>
      <c r="K16" s="83"/>
      <c r="L16" s="83"/>
      <c r="M16" s="83"/>
      <c r="N16" s="83"/>
      <c r="O16" s="83"/>
      <c r="P16" s="83"/>
      <c r="Q16" s="83"/>
      <c r="R16" s="83"/>
      <c r="S16" s="177"/>
      <c r="T16" s="177"/>
      <c r="U16" s="177"/>
      <c r="V16" s="177"/>
      <c r="W16" s="83"/>
      <c r="X16" s="83"/>
      <c r="Y16" s="83"/>
      <c r="Z16" s="83"/>
      <c r="AA16" s="83"/>
      <c r="AB16" s="83"/>
      <c r="AC16" s="83"/>
      <c r="AD16" s="83"/>
      <c r="AE16" s="83"/>
      <c r="AF16" s="83"/>
      <c r="AG16" s="83"/>
      <c r="AH16" s="83"/>
      <c r="AI16" s="83"/>
      <c r="AJ16" s="83"/>
      <c r="AK16" s="83"/>
    </row>
    <row r="17" spans="1:48" ht="20.399999999999999" customHeight="1" x14ac:dyDescent="0.3">
      <c r="A17" s="83"/>
      <c r="B17" s="1258" t="s">
        <v>438</v>
      </c>
      <c r="C17" s="1258"/>
      <c r="D17" s="592">
        <v>3</v>
      </c>
      <c r="E17" s="86" t="s">
        <v>451</v>
      </c>
      <c r="F17" s="83"/>
      <c r="G17" s="206" t="str">
        <f>+B29</f>
        <v>Capital</v>
      </c>
      <c r="H17" s="480">
        <f>+IF(I5="LCOP",SUMPRODUCT(C29:AT29,C36:AT36)/SUMPRODUCT(C27:AT27,C36:AT36)*I6,"-")</f>
        <v>0.41275354974375744</v>
      </c>
      <c r="I17" s="595"/>
      <c r="J17" s="686"/>
      <c r="K17" s="83"/>
      <c r="L17" s="83"/>
      <c r="M17" s="83"/>
      <c r="N17" s="83"/>
      <c r="O17" s="83"/>
      <c r="P17" s="83"/>
      <c r="Q17" s="83"/>
      <c r="R17" s="83"/>
      <c r="S17" s="177"/>
      <c r="T17" s="177"/>
      <c r="U17" s="177"/>
      <c r="V17" s="177"/>
      <c r="W17" s="83"/>
      <c r="X17" s="83"/>
      <c r="Y17" s="83"/>
      <c r="Z17" s="83"/>
      <c r="AA17" s="83"/>
      <c r="AB17" s="83"/>
      <c r="AC17" s="83"/>
      <c r="AD17" s="83"/>
      <c r="AE17" s="83"/>
      <c r="AF17" s="83"/>
      <c r="AG17" s="83"/>
      <c r="AH17" s="83"/>
      <c r="AI17" s="83"/>
      <c r="AJ17" s="83"/>
      <c r="AK17" s="83"/>
    </row>
    <row r="18" spans="1:48" ht="20.399999999999999" customHeight="1" x14ac:dyDescent="0.3">
      <c r="A18" s="83"/>
      <c r="F18" s="83"/>
      <c r="G18" s="193" t="str">
        <f>+B30</f>
        <v>FOM</v>
      </c>
      <c r="H18" s="481">
        <f>+IF(I5="LCOP",SUMPRODUCT(C30:AT30,C36:AT36)/SUMPRODUCT(C27:AT27,C36:AT36)*I6,"-")</f>
        <v>0.16892684333938834</v>
      </c>
      <c r="I18" s="596"/>
      <c r="J18" s="687"/>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1252" t="s">
        <v>714</v>
      </c>
      <c r="C19" s="1253"/>
      <c r="D19" s="1253"/>
      <c r="E19" s="1254"/>
      <c r="F19" s="83"/>
      <c r="G19" s="193" t="str">
        <f>+B34</f>
        <v>VOM</v>
      </c>
      <c r="H19" s="481">
        <f>+IF(I5="LCOP",SUMPRODUCT(C34:AJ34,C36:AJ36)/SUMPRODUCT(C27:AJ27,C36:AJ36)*I6,"-")</f>
        <v>0.21642238174740369</v>
      </c>
      <c r="I19" s="596"/>
      <c r="J19" s="687"/>
      <c r="K19" s="83"/>
      <c r="L19" s="83"/>
      <c r="M19" s="83"/>
      <c r="N19" s="83"/>
      <c r="O19" s="83"/>
      <c r="P19" s="83"/>
      <c r="Q19" s="83"/>
      <c r="R19" s="198"/>
      <c r="S19" s="179"/>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1257" t="s">
        <v>712</v>
      </c>
      <c r="C20" s="1257"/>
      <c r="D20" s="826">
        <v>1.6767696458905514</v>
      </c>
      <c r="E20" s="86" t="str">
        <f>+J6</f>
        <v>€/kg</v>
      </c>
      <c r="F20" s="83"/>
      <c r="G20" s="193" t="str">
        <f>+B33</f>
        <v>CO2 tax</v>
      </c>
      <c r="H20" s="481">
        <f>+IF(I5="LCOP",SUMPRODUCT(C33:AT33,C37:AT37)/SUMPRODUCT(C27:AT27,C37:AT37)*I6,"-")</f>
        <v>0</v>
      </c>
      <c r="I20" s="596"/>
      <c r="J20" s="687"/>
      <c r="K20" s="83"/>
      <c r="L20" s="83"/>
      <c r="M20" s="83"/>
      <c r="N20" s="83"/>
      <c r="O20" s="83"/>
      <c r="P20" s="83"/>
      <c r="Q20" s="83"/>
      <c r="R20" s="198"/>
      <c r="S20" s="179"/>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1259" t="s">
        <v>439</v>
      </c>
      <c r="C21" s="1259"/>
      <c r="D21" s="593">
        <v>0.1</v>
      </c>
      <c r="E21" s="666" t="s">
        <v>456</v>
      </c>
      <c r="F21" s="83"/>
      <c r="G21" s="193" t="str">
        <f>+B31</f>
        <v>NG</v>
      </c>
      <c r="H21" s="481">
        <f>+IF(I5="LCOP",SUMPRODUCT(C31:AJ31,C37:AJ37)/SUMPRODUCT(C27:AJ27,C37:AJ37)*I6,"-")</f>
        <v>0.87866687106000274</v>
      </c>
      <c r="I21" s="596"/>
      <c r="J21" s="687"/>
      <c r="K21" s="83"/>
      <c r="L21" s="83"/>
      <c r="M21" s="83"/>
      <c r="N21" s="83"/>
      <c r="O21" s="83"/>
      <c r="P21" s="83"/>
      <c r="Q21" s="83"/>
      <c r="R21" s="198"/>
      <c r="S21" s="179"/>
      <c r="T21" s="83"/>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1250" t="s">
        <v>713</v>
      </c>
      <c r="C22" s="1251"/>
      <c r="D22" s="86">
        <f>HLOOKUP(D16,C24:AT39,16)</f>
        <v>-9.8809849191638932E-14</v>
      </c>
      <c r="E22" s="86" t="str">
        <f>+E7</f>
        <v>M€</v>
      </c>
      <c r="F22" s="83"/>
      <c r="G22" s="194" t="str">
        <f>+B32</f>
        <v>-</v>
      </c>
      <c r="H22" s="689">
        <f>+IF(I5="LCOP",SUMPRODUCT(C32:AT32,C37:AT37)/SUMPRODUCT(C27:AT27,C37:AT37)*I6,"-")</f>
        <v>0</v>
      </c>
      <c r="I22" s="690"/>
      <c r="J22" s="688"/>
      <c r="K22" s="83"/>
      <c r="P22" s="83"/>
      <c r="Q22" s="83"/>
      <c r="R22" s="198"/>
      <c r="S22" s="179"/>
      <c r="T22" s="83"/>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20.399999999999999" customHeight="1" x14ac:dyDescent="0.3">
      <c r="A24" s="83"/>
      <c r="B24" s="564" t="s">
        <v>315</v>
      </c>
      <c r="C24" s="611">
        <v>-4</v>
      </c>
      <c r="D24" s="612">
        <v>-3</v>
      </c>
      <c r="E24" s="612">
        <v>-2</v>
      </c>
      <c r="F24" s="613">
        <v>-1</v>
      </c>
      <c r="G24" s="612">
        <v>1</v>
      </c>
      <c r="H24" s="612">
        <v>2</v>
      </c>
      <c r="I24" s="612">
        <v>3</v>
      </c>
      <c r="J24" s="612">
        <v>4</v>
      </c>
      <c r="K24" s="612">
        <v>5</v>
      </c>
      <c r="L24" s="612">
        <v>6</v>
      </c>
      <c r="M24" s="612">
        <v>7</v>
      </c>
      <c r="N24" s="612">
        <v>8</v>
      </c>
      <c r="O24" s="612">
        <v>9</v>
      </c>
      <c r="P24" s="612">
        <v>10</v>
      </c>
      <c r="Q24" s="612">
        <v>11</v>
      </c>
      <c r="R24" s="612">
        <v>12</v>
      </c>
      <c r="S24" s="612">
        <v>13</v>
      </c>
      <c r="T24" s="612">
        <v>14</v>
      </c>
      <c r="U24" s="612">
        <v>15</v>
      </c>
      <c r="V24" s="612">
        <v>16</v>
      </c>
      <c r="W24" s="612">
        <v>17</v>
      </c>
      <c r="X24" s="612">
        <v>18</v>
      </c>
      <c r="Y24" s="612">
        <v>19</v>
      </c>
      <c r="Z24" s="612">
        <v>20</v>
      </c>
      <c r="AA24" s="612">
        <v>21</v>
      </c>
      <c r="AB24" s="612">
        <v>22</v>
      </c>
      <c r="AC24" s="612">
        <v>23</v>
      </c>
      <c r="AD24" s="612">
        <v>24</v>
      </c>
      <c r="AE24" s="612">
        <v>25</v>
      </c>
      <c r="AF24" s="612">
        <v>26</v>
      </c>
      <c r="AG24" s="612">
        <v>27</v>
      </c>
      <c r="AH24" s="612">
        <v>28</v>
      </c>
      <c r="AI24" s="612">
        <v>29</v>
      </c>
      <c r="AJ24" s="612">
        <v>30</v>
      </c>
      <c r="AK24" s="612">
        <v>31</v>
      </c>
      <c r="AL24" s="612">
        <v>32</v>
      </c>
      <c r="AM24" s="612">
        <v>33</v>
      </c>
      <c r="AN24" s="612">
        <v>34</v>
      </c>
      <c r="AO24" s="612">
        <v>35</v>
      </c>
      <c r="AP24" s="612">
        <v>36</v>
      </c>
      <c r="AQ24" s="612">
        <v>37</v>
      </c>
      <c r="AR24" s="612">
        <v>38</v>
      </c>
      <c r="AS24" s="612">
        <v>39</v>
      </c>
      <c r="AT24" s="613">
        <v>40</v>
      </c>
      <c r="AU24" s="479"/>
      <c r="AV24" s="479"/>
    </row>
    <row r="25" spans="1:48" ht="20.399999999999999" customHeight="1" x14ac:dyDescent="0.3">
      <c r="A25" s="83"/>
      <c r="B25" s="608" t="s">
        <v>442</v>
      </c>
      <c r="C25" s="609"/>
      <c r="D25" s="609"/>
      <c r="E25" s="609"/>
      <c r="F25" s="609"/>
      <c r="G25" s="662">
        <f>+D14</f>
        <v>0.65</v>
      </c>
      <c r="H25" s="663">
        <f t="shared" ref="H25:AT25" si="0">+IF(H24&lt;=$D$16,$D$15,0)</f>
        <v>0.9</v>
      </c>
      <c r="I25" s="663">
        <f t="shared" si="0"/>
        <v>0.9</v>
      </c>
      <c r="J25" s="663">
        <f t="shared" si="0"/>
        <v>0.9</v>
      </c>
      <c r="K25" s="663">
        <f t="shared" si="0"/>
        <v>0.9</v>
      </c>
      <c r="L25" s="663">
        <f t="shared" si="0"/>
        <v>0.9</v>
      </c>
      <c r="M25" s="663">
        <f t="shared" si="0"/>
        <v>0.9</v>
      </c>
      <c r="N25" s="663">
        <f t="shared" si="0"/>
        <v>0.9</v>
      </c>
      <c r="O25" s="663">
        <f t="shared" si="0"/>
        <v>0.9</v>
      </c>
      <c r="P25" s="663">
        <f t="shared" si="0"/>
        <v>0.9</v>
      </c>
      <c r="Q25" s="663">
        <f t="shared" si="0"/>
        <v>0.9</v>
      </c>
      <c r="R25" s="663">
        <f t="shared" si="0"/>
        <v>0.9</v>
      </c>
      <c r="S25" s="663">
        <f t="shared" si="0"/>
        <v>0.9</v>
      </c>
      <c r="T25" s="663">
        <f t="shared" si="0"/>
        <v>0.9</v>
      </c>
      <c r="U25" s="663">
        <f t="shared" si="0"/>
        <v>0.9</v>
      </c>
      <c r="V25" s="663">
        <f t="shared" si="0"/>
        <v>0.9</v>
      </c>
      <c r="W25" s="663">
        <f t="shared" si="0"/>
        <v>0.9</v>
      </c>
      <c r="X25" s="663">
        <f t="shared" si="0"/>
        <v>0.9</v>
      </c>
      <c r="Y25" s="663">
        <f t="shared" si="0"/>
        <v>0.9</v>
      </c>
      <c r="Z25" s="663">
        <f t="shared" si="0"/>
        <v>0.9</v>
      </c>
      <c r="AA25" s="663">
        <f t="shared" si="0"/>
        <v>0.9</v>
      </c>
      <c r="AB25" s="663">
        <f t="shared" si="0"/>
        <v>0.9</v>
      </c>
      <c r="AC25" s="663">
        <f t="shared" si="0"/>
        <v>0.9</v>
      </c>
      <c r="AD25" s="663">
        <f t="shared" si="0"/>
        <v>0.9</v>
      </c>
      <c r="AE25" s="663">
        <f t="shared" si="0"/>
        <v>0.9</v>
      </c>
      <c r="AF25" s="663">
        <f t="shared" si="0"/>
        <v>0.9</v>
      </c>
      <c r="AG25" s="663">
        <f t="shared" si="0"/>
        <v>0.9</v>
      </c>
      <c r="AH25" s="663">
        <f t="shared" si="0"/>
        <v>0.9</v>
      </c>
      <c r="AI25" s="663">
        <f t="shared" si="0"/>
        <v>0.9</v>
      </c>
      <c r="AJ25" s="663">
        <f t="shared" si="0"/>
        <v>0.9</v>
      </c>
      <c r="AK25" s="663">
        <f t="shared" si="0"/>
        <v>0</v>
      </c>
      <c r="AL25" s="663">
        <f t="shared" si="0"/>
        <v>0</v>
      </c>
      <c r="AM25" s="663">
        <f t="shared" si="0"/>
        <v>0</v>
      </c>
      <c r="AN25" s="663">
        <f t="shared" si="0"/>
        <v>0</v>
      </c>
      <c r="AO25" s="663">
        <f t="shared" si="0"/>
        <v>0</v>
      </c>
      <c r="AP25" s="663">
        <f t="shared" si="0"/>
        <v>0</v>
      </c>
      <c r="AQ25" s="663">
        <f t="shared" si="0"/>
        <v>0</v>
      </c>
      <c r="AR25" s="663">
        <f t="shared" si="0"/>
        <v>0</v>
      </c>
      <c r="AS25" s="663">
        <f t="shared" si="0"/>
        <v>0</v>
      </c>
      <c r="AT25" s="664">
        <f t="shared" si="0"/>
        <v>0</v>
      </c>
      <c r="AV25" s="92"/>
    </row>
    <row r="26" spans="1:48" ht="20.399999999999999" customHeight="1" x14ac:dyDescent="0.3">
      <c r="A26" s="83"/>
      <c r="B26" s="675" t="s">
        <v>441</v>
      </c>
      <c r="C26" s="330"/>
      <c r="D26" s="330"/>
      <c r="E26" s="330"/>
      <c r="F26" s="330"/>
      <c r="G26" s="597"/>
      <c r="H26" s="330"/>
      <c r="I26" s="330"/>
      <c r="J26" s="330"/>
      <c r="K26" s="330"/>
      <c r="L26" s="330"/>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125"/>
      <c r="AV26" s="92"/>
    </row>
    <row r="27" spans="1:48" ht="20.399999999999999" customHeight="1" x14ac:dyDescent="0.3">
      <c r="A27" s="83"/>
      <c r="B27" s="607" t="s">
        <v>663</v>
      </c>
      <c r="C27" s="563"/>
      <c r="D27" s="563"/>
      <c r="E27" s="563"/>
      <c r="F27" s="563"/>
      <c r="G27" s="659">
        <f>365.25*24*G25*$D$20*3600*'Plant Overview'!$I$32/10^6</f>
        <v>32.820050217842805</v>
      </c>
      <c r="H27" s="660">
        <f>365.25*24*H25*$D$20*3600*'Plant Overview'!$I$32/10^6</f>
        <v>45.443146455474647</v>
      </c>
      <c r="I27" s="660">
        <f>365.25*24*I25*$D$20*3600*'Plant Overview'!$I$32/10^6</f>
        <v>45.443146455474647</v>
      </c>
      <c r="J27" s="660">
        <f>365.25*24*J25*$D$20*3600*'Plant Overview'!$I$32/10^6</f>
        <v>45.443146455474647</v>
      </c>
      <c r="K27" s="660">
        <f>365.25*24*K25*$D$20*3600*'Plant Overview'!$I$32/10^6</f>
        <v>45.443146455474647</v>
      </c>
      <c r="L27" s="660">
        <f>365.25*24*L25*$D$20*3600*'Plant Overview'!$I$32/10^6</f>
        <v>45.443146455474647</v>
      </c>
      <c r="M27" s="660">
        <f>365.25*24*M25*$D$20*3600*'Plant Overview'!$I$32/10^6</f>
        <v>45.443146455474647</v>
      </c>
      <c r="N27" s="660">
        <f>365.25*24*N25*$D$20*3600*'Plant Overview'!$I$32/10^6</f>
        <v>45.443146455474647</v>
      </c>
      <c r="O27" s="660">
        <f>365.25*24*O25*$D$20*3600*'Plant Overview'!$I$32/10^6</f>
        <v>45.443146455474647</v>
      </c>
      <c r="P27" s="660">
        <f>365.25*24*P25*$D$20*3600*'Plant Overview'!$I$32/10^6</f>
        <v>45.443146455474647</v>
      </c>
      <c r="Q27" s="660">
        <f>365.25*24*Q25*$D$20*3600*'Plant Overview'!$I$32/10^6</f>
        <v>45.443146455474647</v>
      </c>
      <c r="R27" s="660">
        <f>365.25*24*R25*$D$20*3600*'Plant Overview'!$I$32/10^6</f>
        <v>45.443146455474647</v>
      </c>
      <c r="S27" s="660">
        <f>365.25*24*S25*$D$20*3600*'Plant Overview'!$I$32/10^6</f>
        <v>45.443146455474647</v>
      </c>
      <c r="T27" s="660">
        <f>365.25*24*T25*$D$20*3600*'Plant Overview'!$I$32/10^6</f>
        <v>45.443146455474647</v>
      </c>
      <c r="U27" s="660">
        <f>365.25*24*U25*$D$20*3600*'Plant Overview'!$I$32/10^6</f>
        <v>45.443146455474647</v>
      </c>
      <c r="V27" s="660">
        <f>365.25*24*V25*$D$20*3600*'Plant Overview'!$I$32/10^6</f>
        <v>45.443146455474647</v>
      </c>
      <c r="W27" s="660">
        <f>365.25*24*W25*$D$20*3600*'Plant Overview'!$I$32/10^6</f>
        <v>45.443146455474647</v>
      </c>
      <c r="X27" s="660">
        <f>365.25*24*X25*$D$20*3600*'Plant Overview'!$I$32/10^6</f>
        <v>45.443146455474647</v>
      </c>
      <c r="Y27" s="660">
        <f>365.25*24*Y25*$D$20*3600*'Plant Overview'!$I$32/10^6</f>
        <v>45.443146455474647</v>
      </c>
      <c r="Z27" s="660">
        <f>365.25*24*Z25*$D$20*3600*'Plant Overview'!$I$32/10^6</f>
        <v>45.443146455474647</v>
      </c>
      <c r="AA27" s="660">
        <f>365.25*24*AA25*$D$20*3600*'Plant Overview'!$I$32/10^6</f>
        <v>45.443146455474647</v>
      </c>
      <c r="AB27" s="660">
        <f>365.25*24*AB25*$D$20*3600*'Plant Overview'!$I$32/10^6</f>
        <v>45.443146455474647</v>
      </c>
      <c r="AC27" s="660">
        <f>365.25*24*AC25*$D$20*3600*'Plant Overview'!$I$32/10^6</f>
        <v>45.443146455474647</v>
      </c>
      <c r="AD27" s="660">
        <f>365.25*24*AD25*$D$20*3600*'Plant Overview'!$I$32/10^6</f>
        <v>45.443146455474647</v>
      </c>
      <c r="AE27" s="660">
        <f>365.25*24*AE25*$D$20*3600*'Plant Overview'!$I$32/10^6</f>
        <v>45.443146455474647</v>
      </c>
      <c r="AF27" s="660">
        <f>365.25*24*AF25*$D$20*3600*'Plant Overview'!$I$32/10^6</f>
        <v>45.443146455474647</v>
      </c>
      <c r="AG27" s="660">
        <f>365.25*24*AG25*$D$20*3600*'Plant Overview'!$I$32/10^6</f>
        <v>45.443146455474647</v>
      </c>
      <c r="AH27" s="660">
        <f>365.25*24*AH25*$D$20*3600*'Plant Overview'!$I$32/10^6</f>
        <v>45.443146455474647</v>
      </c>
      <c r="AI27" s="660">
        <f>365.25*24*AI25*$D$20*3600*'Plant Overview'!$I$32/10^6</f>
        <v>45.443146455474647</v>
      </c>
      <c r="AJ27" s="660">
        <f>365.25*24*AJ25*$D$20*3600*'Plant Overview'!$I$32/10^6</f>
        <v>45.443146455474647</v>
      </c>
      <c r="AK27" s="660">
        <f>365.25*24*AK25*$D$20*3600*'Plant Overview'!$I$32/10^6</f>
        <v>0</v>
      </c>
      <c r="AL27" s="660">
        <f>365.25*24*AL25*$D$20*3600*'Plant Overview'!$I$32/10^6</f>
        <v>0</v>
      </c>
      <c r="AM27" s="660">
        <f>365.25*24*AM25*$D$20*3600*'Plant Overview'!$I$32/10^6</f>
        <v>0</v>
      </c>
      <c r="AN27" s="660">
        <f>365.25*24*AN25*$D$20*3600*'Plant Overview'!$I$32/10^6</f>
        <v>0</v>
      </c>
      <c r="AO27" s="660">
        <f>365.25*24*AO25*$D$20*3600*'Plant Overview'!$I$32/10^6</f>
        <v>0</v>
      </c>
      <c r="AP27" s="660">
        <f>365.25*24*AP25*$D$20*3600*'Plant Overview'!$I$32/10^6</f>
        <v>0</v>
      </c>
      <c r="AQ27" s="660">
        <f>365.25*24*AQ25*$D$20*3600*'Plant Overview'!$I$32/10^6</f>
        <v>0</v>
      </c>
      <c r="AR27" s="660">
        <f>365.25*24*AR25*$D$20*3600*'Plant Overview'!$I$32/10^6</f>
        <v>0</v>
      </c>
      <c r="AS27" s="660">
        <f>365.25*24*AS25*$D$20*3600*'Plant Overview'!$I$32/10^6</f>
        <v>0</v>
      </c>
      <c r="AT27" s="661">
        <f>365.25*24*AT25*$D$20*3600*'Plant Overview'!$I$32/10^6</f>
        <v>0</v>
      </c>
    </row>
    <row r="28" spans="1:48" ht="20.399999999999999" customHeight="1" x14ac:dyDescent="0.3">
      <c r="A28" s="83"/>
      <c r="B28" s="656" t="s">
        <v>443</v>
      </c>
      <c r="C28" s="610"/>
      <c r="D28" s="557"/>
      <c r="E28" s="557"/>
      <c r="F28" s="557"/>
      <c r="G28" s="558"/>
      <c r="H28" s="559"/>
      <c r="I28" s="559"/>
      <c r="J28" s="559"/>
      <c r="K28" s="559"/>
      <c r="L28" s="559"/>
      <c r="M28" s="559"/>
      <c r="N28" s="559"/>
      <c r="O28" s="559"/>
      <c r="P28" s="559"/>
      <c r="Q28" s="559"/>
      <c r="R28" s="559"/>
      <c r="S28" s="559"/>
      <c r="T28" s="559"/>
      <c r="U28" s="559"/>
      <c r="V28" s="559"/>
      <c r="W28" s="559"/>
      <c r="X28" s="559"/>
      <c r="Y28" s="559"/>
      <c r="Z28" s="559"/>
      <c r="AA28" s="559"/>
      <c r="AB28" s="559"/>
      <c r="AC28" s="559"/>
      <c r="AD28" s="559"/>
      <c r="AE28" s="559"/>
      <c r="AF28" s="525"/>
      <c r="AG28" s="525"/>
      <c r="AH28" s="525"/>
      <c r="AI28" s="525"/>
      <c r="AJ28" s="525"/>
      <c r="AK28" s="560"/>
      <c r="AL28" s="561"/>
      <c r="AM28" s="561"/>
      <c r="AN28" s="561"/>
      <c r="AO28" s="561"/>
      <c r="AP28" s="561"/>
      <c r="AQ28" s="561"/>
      <c r="AR28" s="561"/>
      <c r="AS28" s="561"/>
      <c r="AT28" s="562"/>
    </row>
    <row r="29" spans="1:48" ht="20.399999999999999" customHeight="1" x14ac:dyDescent="0.3">
      <c r="A29" s="83"/>
      <c r="B29" s="605" t="s">
        <v>437</v>
      </c>
      <c r="C29" s="559">
        <f>IF($D$17&gt;3,$D$7/$D$17,0)</f>
        <v>0</v>
      </c>
      <c r="D29" s="614">
        <f>IF($D$17&gt;2,$D$7/$D$17,0)</f>
        <v>31.005231221516926</v>
      </c>
      <c r="E29" s="614">
        <f>IF($D$17&gt;1,$D$7/$D$17,0)</f>
        <v>31.005231221516926</v>
      </c>
      <c r="F29" s="614">
        <f>$D$7/$D$17</f>
        <v>31.005231221516926</v>
      </c>
      <c r="G29" s="615"/>
      <c r="H29" s="614"/>
      <c r="I29" s="614"/>
      <c r="J29" s="614"/>
      <c r="K29" s="614"/>
      <c r="L29" s="614"/>
      <c r="M29" s="614"/>
      <c r="N29" s="614"/>
      <c r="O29" s="614"/>
      <c r="P29" s="614"/>
      <c r="Q29" s="614"/>
      <c r="R29" s="614"/>
      <c r="S29" s="614"/>
      <c r="T29" s="614"/>
      <c r="U29" s="614"/>
      <c r="V29" s="614"/>
      <c r="W29" s="614"/>
      <c r="X29" s="614"/>
      <c r="Y29" s="614"/>
      <c r="Z29" s="614"/>
      <c r="AA29" s="614"/>
      <c r="AB29" s="614"/>
      <c r="AC29" s="614"/>
      <c r="AD29" s="614"/>
      <c r="AE29" s="614"/>
      <c r="AF29" s="847"/>
      <c r="AG29" s="847"/>
      <c r="AH29" s="847"/>
      <c r="AI29" s="847"/>
      <c r="AJ29" s="847"/>
      <c r="AK29" s="848"/>
      <c r="AL29" s="849"/>
      <c r="AM29" s="849"/>
      <c r="AN29" s="849"/>
      <c r="AO29" s="849"/>
      <c r="AP29" s="849"/>
      <c r="AQ29" s="849"/>
      <c r="AR29" s="849"/>
      <c r="AS29" s="849"/>
      <c r="AT29" s="850"/>
    </row>
    <row r="30" spans="1:48" ht="20.399999999999999" customHeight="1" x14ac:dyDescent="0.3">
      <c r="A30" s="83"/>
      <c r="B30" s="606" t="s">
        <v>457</v>
      </c>
      <c r="C30" s="559"/>
      <c r="D30" s="614"/>
      <c r="E30" s="614"/>
      <c r="F30" s="614"/>
      <c r="G30" s="615">
        <f>+$D$8</f>
        <v>4.4555492782592774</v>
      </c>
      <c r="H30" s="614">
        <f t="shared" ref="H30:AT30" si="1">+IF(H24&lt;=$D$16,$D$8,0)</f>
        <v>4.4555492782592774</v>
      </c>
      <c r="I30" s="614">
        <f t="shared" si="1"/>
        <v>4.4555492782592774</v>
      </c>
      <c r="J30" s="614">
        <f t="shared" si="1"/>
        <v>4.4555492782592774</v>
      </c>
      <c r="K30" s="614">
        <f t="shared" si="1"/>
        <v>4.4555492782592774</v>
      </c>
      <c r="L30" s="614">
        <f t="shared" si="1"/>
        <v>4.4555492782592774</v>
      </c>
      <c r="M30" s="614">
        <f t="shared" si="1"/>
        <v>4.4555492782592774</v>
      </c>
      <c r="N30" s="614">
        <f t="shared" si="1"/>
        <v>4.4555492782592774</v>
      </c>
      <c r="O30" s="614">
        <f t="shared" si="1"/>
        <v>4.4555492782592774</v>
      </c>
      <c r="P30" s="614">
        <f t="shared" si="1"/>
        <v>4.4555492782592774</v>
      </c>
      <c r="Q30" s="614">
        <f t="shared" si="1"/>
        <v>4.4555492782592774</v>
      </c>
      <c r="R30" s="614">
        <f t="shared" si="1"/>
        <v>4.4555492782592774</v>
      </c>
      <c r="S30" s="614">
        <f t="shared" si="1"/>
        <v>4.4555492782592774</v>
      </c>
      <c r="T30" s="614">
        <f t="shared" si="1"/>
        <v>4.4555492782592774</v>
      </c>
      <c r="U30" s="614">
        <f t="shared" si="1"/>
        <v>4.4555492782592774</v>
      </c>
      <c r="V30" s="614">
        <f t="shared" si="1"/>
        <v>4.4555492782592774</v>
      </c>
      <c r="W30" s="614">
        <f t="shared" si="1"/>
        <v>4.4555492782592774</v>
      </c>
      <c r="X30" s="614">
        <f t="shared" si="1"/>
        <v>4.4555492782592774</v>
      </c>
      <c r="Y30" s="614">
        <f t="shared" si="1"/>
        <v>4.4555492782592774</v>
      </c>
      <c r="Z30" s="614">
        <f t="shared" si="1"/>
        <v>4.4555492782592774</v>
      </c>
      <c r="AA30" s="614">
        <f t="shared" si="1"/>
        <v>4.4555492782592774</v>
      </c>
      <c r="AB30" s="614">
        <f t="shared" si="1"/>
        <v>4.4555492782592774</v>
      </c>
      <c r="AC30" s="614">
        <f t="shared" si="1"/>
        <v>4.4555492782592774</v>
      </c>
      <c r="AD30" s="614">
        <f t="shared" si="1"/>
        <v>4.4555492782592774</v>
      </c>
      <c r="AE30" s="614">
        <f t="shared" si="1"/>
        <v>4.4555492782592774</v>
      </c>
      <c r="AF30" s="614">
        <f t="shared" si="1"/>
        <v>4.4555492782592774</v>
      </c>
      <c r="AG30" s="614">
        <f t="shared" si="1"/>
        <v>4.4555492782592774</v>
      </c>
      <c r="AH30" s="614">
        <f t="shared" si="1"/>
        <v>4.4555492782592774</v>
      </c>
      <c r="AI30" s="614">
        <f t="shared" si="1"/>
        <v>4.4555492782592774</v>
      </c>
      <c r="AJ30" s="614">
        <f t="shared" si="1"/>
        <v>4.4555492782592774</v>
      </c>
      <c r="AK30" s="614">
        <f t="shared" si="1"/>
        <v>0</v>
      </c>
      <c r="AL30" s="614">
        <f t="shared" si="1"/>
        <v>0</v>
      </c>
      <c r="AM30" s="614">
        <f t="shared" si="1"/>
        <v>0</v>
      </c>
      <c r="AN30" s="614">
        <f t="shared" si="1"/>
        <v>0</v>
      </c>
      <c r="AO30" s="614">
        <f t="shared" si="1"/>
        <v>0</v>
      </c>
      <c r="AP30" s="614">
        <f t="shared" si="1"/>
        <v>0</v>
      </c>
      <c r="AQ30" s="614">
        <f t="shared" si="1"/>
        <v>0</v>
      </c>
      <c r="AR30" s="614">
        <f t="shared" si="1"/>
        <v>0</v>
      </c>
      <c r="AS30" s="614">
        <f t="shared" si="1"/>
        <v>0</v>
      </c>
      <c r="AT30" s="616">
        <f t="shared" si="1"/>
        <v>0</v>
      </c>
    </row>
    <row r="31" spans="1:48" ht="20.399999999999999" customHeight="1" x14ac:dyDescent="0.3">
      <c r="A31" s="83"/>
      <c r="B31" s="605" t="str">
        <f>+B9</f>
        <v>NG</v>
      </c>
      <c r="C31" s="559"/>
      <c r="D31" s="614"/>
      <c r="E31" s="614"/>
      <c r="F31" s="614"/>
      <c r="G31" s="615">
        <f t="shared" ref="G31:AT31" si="2">+$D$9*G25</f>
        <v>17.19848096226</v>
      </c>
      <c r="H31" s="614">
        <f t="shared" si="2"/>
        <v>23.813281332359999</v>
      </c>
      <c r="I31" s="614">
        <f t="shared" si="2"/>
        <v>23.813281332359999</v>
      </c>
      <c r="J31" s="614">
        <f t="shared" si="2"/>
        <v>23.813281332359999</v>
      </c>
      <c r="K31" s="614">
        <f t="shared" si="2"/>
        <v>23.813281332359999</v>
      </c>
      <c r="L31" s="614">
        <f t="shared" si="2"/>
        <v>23.813281332359999</v>
      </c>
      <c r="M31" s="614">
        <f t="shared" si="2"/>
        <v>23.813281332359999</v>
      </c>
      <c r="N31" s="614">
        <f t="shared" si="2"/>
        <v>23.813281332359999</v>
      </c>
      <c r="O31" s="614">
        <f t="shared" si="2"/>
        <v>23.813281332359999</v>
      </c>
      <c r="P31" s="614">
        <f t="shared" si="2"/>
        <v>23.813281332359999</v>
      </c>
      <c r="Q31" s="614">
        <f t="shared" si="2"/>
        <v>23.813281332359999</v>
      </c>
      <c r="R31" s="614">
        <f t="shared" si="2"/>
        <v>23.813281332359999</v>
      </c>
      <c r="S31" s="614">
        <f t="shared" si="2"/>
        <v>23.813281332359999</v>
      </c>
      <c r="T31" s="614">
        <f t="shared" si="2"/>
        <v>23.813281332359999</v>
      </c>
      <c r="U31" s="614">
        <f t="shared" si="2"/>
        <v>23.813281332359999</v>
      </c>
      <c r="V31" s="614">
        <f t="shared" si="2"/>
        <v>23.813281332359999</v>
      </c>
      <c r="W31" s="614">
        <f t="shared" si="2"/>
        <v>23.813281332359999</v>
      </c>
      <c r="X31" s="614">
        <f t="shared" si="2"/>
        <v>23.813281332359999</v>
      </c>
      <c r="Y31" s="614">
        <f t="shared" si="2"/>
        <v>23.813281332359999</v>
      </c>
      <c r="Z31" s="614">
        <f t="shared" si="2"/>
        <v>23.813281332359999</v>
      </c>
      <c r="AA31" s="614">
        <f t="shared" si="2"/>
        <v>23.813281332359999</v>
      </c>
      <c r="AB31" s="614">
        <f t="shared" si="2"/>
        <v>23.813281332359999</v>
      </c>
      <c r="AC31" s="614">
        <f t="shared" si="2"/>
        <v>23.813281332359999</v>
      </c>
      <c r="AD31" s="614">
        <f t="shared" si="2"/>
        <v>23.813281332359999</v>
      </c>
      <c r="AE31" s="614">
        <f t="shared" si="2"/>
        <v>23.813281332359999</v>
      </c>
      <c r="AF31" s="614">
        <f t="shared" si="2"/>
        <v>23.813281332359999</v>
      </c>
      <c r="AG31" s="614">
        <f t="shared" si="2"/>
        <v>23.813281332359999</v>
      </c>
      <c r="AH31" s="614">
        <f t="shared" si="2"/>
        <v>23.813281332359999</v>
      </c>
      <c r="AI31" s="614">
        <f t="shared" si="2"/>
        <v>23.813281332359999</v>
      </c>
      <c r="AJ31" s="614">
        <f t="shared" si="2"/>
        <v>23.813281332359999</v>
      </c>
      <c r="AK31" s="614">
        <f t="shared" si="2"/>
        <v>0</v>
      </c>
      <c r="AL31" s="614">
        <f t="shared" si="2"/>
        <v>0</v>
      </c>
      <c r="AM31" s="614">
        <f t="shared" si="2"/>
        <v>0</v>
      </c>
      <c r="AN31" s="614">
        <f t="shared" si="2"/>
        <v>0</v>
      </c>
      <c r="AO31" s="614">
        <f t="shared" si="2"/>
        <v>0</v>
      </c>
      <c r="AP31" s="614">
        <f t="shared" si="2"/>
        <v>0</v>
      </c>
      <c r="AQ31" s="614">
        <f t="shared" si="2"/>
        <v>0</v>
      </c>
      <c r="AR31" s="614">
        <f t="shared" si="2"/>
        <v>0</v>
      </c>
      <c r="AS31" s="614">
        <f t="shared" si="2"/>
        <v>0</v>
      </c>
      <c r="AT31" s="616">
        <f t="shared" si="2"/>
        <v>0</v>
      </c>
    </row>
    <row r="32" spans="1:48" ht="20.399999999999999" customHeight="1" x14ac:dyDescent="0.3">
      <c r="A32" s="83"/>
      <c r="B32" s="605" t="str">
        <f>+B10</f>
        <v>-</v>
      </c>
      <c r="C32" s="559"/>
      <c r="D32" s="614"/>
      <c r="E32" s="614"/>
      <c r="F32" s="614"/>
      <c r="G32" s="615">
        <f t="shared" ref="G32:AT32" si="3">+$D$10*G25</f>
        <v>0</v>
      </c>
      <c r="H32" s="614">
        <f t="shared" si="3"/>
        <v>0</v>
      </c>
      <c r="I32" s="614">
        <f t="shared" si="3"/>
        <v>0</v>
      </c>
      <c r="J32" s="614">
        <f t="shared" si="3"/>
        <v>0</v>
      </c>
      <c r="K32" s="614">
        <f t="shared" si="3"/>
        <v>0</v>
      </c>
      <c r="L32" s="614">
        <f t="shared" si="3"/>
        <v>0</v>
      </c>
      <c r="M32" s="614">
        <f t="shared" si="3"/>
        <v>0</v>
      </c>
      <c r="N32" s="614">
        <f t="shared" si="3"/>
        <v>0</v>
      </c>
      <c r="O32" s="614">
        <f t="shared" si="3"/>
        <v>0</v>
      </c>
      <c r="P32" s="614">
        <f t="shared" si="3"/>
        <v>0</v>
      </c>
      <c r="Q32" s="614">
        <f t="shared" si="3"/>
        <v>0</v>
      </c>
      <c r="R32" s="614">
        <f t="shared" si="3"/>
        <v>0</v>
      </c>
      <c r="S32" s="614">
        <f t="shared" si="3"/>
        <v>0</v>
      </c>
      <c r="T32" s="614">
        <f t="shared" si="3"/>
        <v>0</v>
      </c>
      <c r="U32" s="614">
        <f t="shared" si="3"/>
        <v>0</v>
      </c>
      <c r="V32" s="614">
        <f t="shared" si="3"/>
        <v>0</v>
      </c>
      <c r="W32" s="614">
        <f t="shared" si="3"/>
        <v>0</v>
      </c>
      <c r="X32" s="614">
        <f t="shared" si="3"/>
        <v>0</v>
      </c>
      <c r="Y32" s="614">
        <f t="shared" si="3"/>
        <v>0</v>
      </c>
      <c r="Z32" s="614">
        <f t="shared" si="3"/>
        <v>0</v>
      </c>
      <c r="AA32" s="614">
        <f t="shared" si="3"/>
        <v>0</v>
      </c>
      <c r="AB32" s="614">
        <f t="shared" si="3"/>
        <v>0</v>
      </c>
      <c r="AC32" s="614">
        <f t="shared" si="3"/>
        <v>0</v>
      </c>
      <c r="AD32" s="614">
        <f t="shared" si="3"/>
        <v>0</v>
      </c>
      <c r="AE32" s="614">
        <f t="shared" si="3"/>
        <v>0</v>
      </c>
      <c r="AF32" s="614">
        <f t="shared" si="3"/>
        <v>0</v>
      </c>
      <c r="AG32" s="614">
        <f t="shared" si="3"/>
        <v>0</v>
      </c>
      <c r="AH32" s="614">
        <f t="shared" si="3"/>
        <v>0</v>
      </c>
      <c r="AI32" s="614">
        <f t="shared" si="3"/>
        <v>0</v>
      </c>
      <c r="AJ32" s="614">
        <f t="shared" si="3"/>
        <v>0</v>
      </c>
      <c r="AK32" s="614">
        <f t="shared" si="3"/>
        <v>0</v>
      </c>
      <c r="AL32" s="614">
        <f t="shared" si="3"/>
        <v>0</v>
      </c>
      <c r="AM32" s="614">
        <f t="shared" si="3"/>
        <v>0</v>
      </c>
      <c r="AN32" s="614">
        <f t="shared" si="3"/>
        <v>0</v>
      </c>
      <c r="AO32" s="614">
        <f t="shared" si="3"/>
        <v>0</v>
      </c>
      <c r="AP32" s="614">
        <f t="shared" si="3"/>
        <v>0</v>
      </c>
      <c r="AQ32" s="614">
        <f t="shared" si="3"/>
        <v>0</v>
      </c>
      <c r="AR32" s="614">
        <f t="shared" si="3"/>
        <v>0</v>
      </c>
      <c r="AS32" s="614">
        <f t="shared" si="3"/>
        <v>0</v>
      </c>
      <c r="AT32" s="616">
        <f t="shared" si="3"/>
        <v>0</v>
      </c>
    </row>
    <row r="33" spans="1:46" ht="20.399999999999999" customHeight="1" x14ac:dyDescent="0.3">
      <c r="A33" s="83"/>
      <c r="B33" s="605" t="s">
        <v>493</v>
      </c>
      <c r="C33" s="559"/>
      <c r="D33" s="614"/>
      <c r="E33" s="614"/>
      <c r="F33" s="614"/>
      <c r="G33" s="615">
        <f>'Plant OPEX'!$U$26*'Cash Flow Analysis'!G25</f>
        <v>0</v>
      </c>
      <c r="H33" s="614">
        <f>'Plant OPEX'!$U$26*'Cash Flow Analysis'!H25</f>
        <v>0</v>
      </c>
      <c r="I33" s="614">
        <f>'Plant OPEX'!$U$26*'Cash Flow Analysis'!I25</f>
        <v>0</v>
      </c>
      <c r="J33" s="614">
        <f>'Plant OPEX'!$U$26*'Cash Flow Analysis'!J25</f>
        <v>0</v>
      </c>
      <c r="K33" s="614">
        <f>'Plant OPEX'!$U$26*'Cash Flow Analysis'!K25</f>
        <v>0</v>
      </c>
      <c r="L33" s="614">
        <f>'Plant OPEX'!$U$26*'Cash Flow Analysis'!L25</f>
        <v>0</v>
      </c>
      <c r="M33" s="614">
        <f>'Plant OPEX'!$U$26*'Cash Flow Analysis'!M25</f>
        <v>0</v>
      </c>
      <c r="N33" s="614">
        <f>'Plant OPEX'!$U$26*'Cash Flow Analysis'!N25</f>
        <v>0</v>
      </c>
      <c r="O33" s="614">
        <f>'Plant OPEX'!$U$26*'Cash Flow Analysis'!O25</f>
        <v>0</v>
      </c>
      <c r="P33" s="614">
        <f>'Plant OPEX'!$U$26*'Cash Flow Analysis'!P25</f>
        <v>0</v>
      </c>
      <c r="Q33" s="614">
        <f>'Plant OPEX'!$U$26*'Cash Flow Analysis'!Q25</f>
        <v>0</v>
      </c>
      <c r="R33" s="614">
        <f>'Plant OPEX'!$U$26*'Cash Flow Analysis'!R25</f>
        <v>0</v>
      </c>
      <c r="S33" s="614">
        <f>'Plant OPEX'!$U$26*'Cash Flow Analysis'!S25</f>
        <v>0</v>
      </c>
      <c r="T33" s="614">
        <f>'Plant OPEX'!$U$26*'Cash Flow Analysis'!T25</f>
        <v>0</v>
      </c>
      <c r="U33" s="614">
        <f>'Plant OPEX'!$U$26*'Cash Flow Analysis'!U25</f>
        <v>0</v>
      </c>
      <c r="V33" s="614">
        <f>'Plant OPEX'!$U$26*'Cash Flow Analysis'!V25</f>
        <v>0</v>
      </c>
      <c r="W33" s="614">
        <f>'Plant OPEX'!$U$26*'Cash Flow Analysis'!W25</f>
        <v>0</v>
      </c>
      <c r="X33" s="614">
        <f>'Plant OPEX'!$U$26*'Cash Flow Analysis'!X25</f>
        <v>0</v>
      </c>
      <c r="Y33" s="614">
        <f>'Plant OPEX'!$U$26*'Cash Flow Analysis'!Y25</f>
        <v>0</v>
      </c>
      <c r="Z33" s="614">
        <f>'Plant OPEX'!$U$26*'Cash Flow Analysis'!Z25</f>
        <v>0</v>
      </c>
      <c r="AA33" s="614">
        <f>'Plant OPEX'!$U$26*'Cash Flow Analysis'!AA25</f>
        <v>0</v>
      </c>
      <c r="AB33" s="614">
        <f>'Plant OPEX'!$U$26*'Cash Flow Analysis'!AB25</f>
        <v>0</v>
      </c>
      <c r="AC33" s="614">
        <f>'Plant OPEX'!$U$26*'Cash Flow Analysis'!AC25</f>
        <v>0</v>
      </c>
      <c r="AD33" s="614">
        <f>'Plant OPEX'!$U$26*'Cash Flow Analysis'!AD25</f>
        <v>0</v>
      </c>
      <c r="AE33" s="614">
        <f>'Plant OPEX'!$U$26*'Cash Flow Analysis'!AE25</f>
        <v>0</v>
      </c>
      <c r="AF33" s="614">
        <f>'Plant OPEX'!$U$26*'Cash Flow Analysis'!AF25</f>
        <v>0</v>
      </c>
      <c r="AG33" s="614">
        <f>'Plant OPEX'!$U$26*'Cash Flow Analysis'!AG25</f>
        <v>0</v>
      </c>
      <c r="AH33" s="614">
        <f>'Plant OPEX'!$U$26*'Cash Flow Analysis'!AH25</f>
        <v>0</v>
      </c>
      <c r="AI33" s="614">
        <f>'Plant OPEX'!$U$26*'Cash Flow Analysis'!AI25</f>
        <v>0</v>
      </c>
      <c r="AJ33" s="614">
        <f>'Plant OPEX'!$U$26*'Cash Flow Analysis'!AJ25</f>
        <v>0</v>
      </c>
      <c r="AK33" s="614">
        <f>'Plant OPEX'!$U$26*'Cash Flow Analysis'!AK25</f>
        <v>0</v>
      </c>
      <c r="AL33" s="614">
        <f>'Plant OPEX'!$U$26*'Cash Flow Analysis'!AL25</f>
        <v>0</v>
      </c>
      <c r="AM33" s="614">
        <f>'Plant OPEX'!$U$26*'Cash Flow Analysis'!AM25</f>
        <v>0</v>
      </c>
      <c r="AN33" s="614">
        <f>'Plant OPEX'!$U$26*'Cash Flow Analysis'!AN25</f>
        <v>0</v>
      </c>
      <c r="AO33" s="614">
        <f>'Plant OPEX'!$U$26*'Cash Flow Analysis'!AO25</f>
        <v>0</v>
      </c>
      <c r="AP33" s="614">
        <f>'Plant OPEX'!$U$26*'Cash Flow Analysis'!AP25</f>
        <v>0</v>
      </c>
      <c r="AQ33" s="614">
        <f>'Plant OPEX'!$U$26*'Cash Flow Analysis'!AQ25</f>
        <v>0</v>
      </c>
      <c r="AR33" s="614">
        <f>'Plant OPEX'!$U$26*'Cash Flow Analysis'!AR25</f>
        <v>0</v>
      </c>
      <c r="AS33" s="614">
        <f>'Plant OPEX'!$U$26*'Cash Flow Analysis'!AS25</f>
        <v>0</v>
      </c>
      <c r="AT33" s="616">
        <f>'Plant OPEX'!$U$26*'Cash Flow Analysis'!AT25</f>
        <v>0</v>
      </c>
    </row>
    <row r="34" spans="1:46" ht="20.399999999999999" customHeight="1" x14ac:dyDescent="0.3">
      <c r="A34" s="83"/>
      <c r="B34" s="606" t="str">
        <f>+B11</f>
        <v>VOM</v>
      </c>
      <c r="C34" s="559"/>
      <c r="D34" s="614"/>
      <c r="E34" s="614"/>
      <c r="F34" s="614"/>
      <c r="G34" s="615">
        <f t="shared" ref="G34:AT34" si="4">+$D$11*G25</f>
        <v>4.2361176173620763</v>
      </c>
      <c r="H34" s="614">
        <f t="shared" si="4"/>
        <v>5.8653936240397977</v>
      </c>
      <c r="I34" s="614">
        <f t="shared" si="4"/>
        <v>5.8653936240397977</v>
      </c>
      <c r="J34" s="614">
        <f t="shared" si="4"/>
        <v>5.8653936240397977</v>
      </c>
      <c r="K34" s="614">
        <f t="shared" si="4"/>
        <v>5.8653936240397977</v>
      </c>
      <c r="L34" s="614">
        <f t="shared" si="4"/>
        <v>5.8653936240397977</v>
      </c>
      <c r="M34" s="614">
        <f t="shared" si="4"/>
        <v>5.8653936240397977</v>
      </c>
      <c r="N34" s="614">
        <f t="shared" si="4"/>
        <v>5.8653936240397977</v>
      </c>
      <c r="O34" s="614">
        <f t="shared" si="4"/>
        <v>5.8653936240397977</v>
      </c>
      <c r="P34" s="614">
        <f t="shared" si="4"/>
        <v>5.8653936240397977</v>
      </c>
      <c r="Q34" s="614">
        <f t="shared" si="4"/>
        <v>5.8653936240397977</v>
      </c>
      <c r="R34" s="614">
        <f t="shared" si="4"/>
        <v>5.8653936240397977</v>
      </c>
      <c r="S34" s="614">
        <f t="shared" si="4"/>
        <v>5.8653936240397977</v>
      </c>
      <c r="T34" s="614">
        <f t="shared" si="4"/>
        <v>5.8653936240397977</v>
      </c>
      <c r="U34" s="614">
        <f t="shared" si="4"/>
        <v>5.8653936240397977</v>
      </c>
      <c r="V34" s="614">
        <f t="shared" si="4"/>
        <v>5.8653936240397977</v>
      </c>
      <c r="W34" s="614">
        <f t="shared" si="4"/>
        <v>5.8653936240397977</v>
      </c>
      <c r="X34" s="614">
        <f t="shared" si="4"/>
        <v>5.8653936240397977</v>
      </c>
      <c r="Y34" s="614">
        <f t="shared" si="4"/>
        <v>5.8653936240397977</v>
      </c>
      <c r="Z34" s="614">
        <f t="shared" si="4"/>
        <v>5.8653936240397977</v>
      </c>
      <c r="AA34" s="614">
        <f t="shared" si="4"/>
        <v>5.8653936240397977</v>
      </c>
      <c r="AB34" s="614">
        <f t="shared" si="4"/>
        <v>5.8653936240397977</v>
      </c>
      <c r="AC34" s="614">
        <f t="shared" si="4"/>
        <v>5.8653936240397977</v>
      </c>
      <c r="AD34" s="614">
        <f t="shared" si="4"/>
        <v>5.8653936240397977</v>
      </c>
      <c r="AE34" s="614">
        <f t="shared" si="4"/>
        <v>5.8653936240397977</v>
      </c>
      <c r="AF34" s="614">
        <f t="shared" si="4"/>
        <v>5.8653936240397977</v>
      </c>
      <c r="AG34" s="614">
        <f t="shared" si="4"/>
        <v>5.8653936240397977</v>
      </c>
      <c r="AH34" s="614">
        <f t="shared" si="4"/>
        <v>5.8653936240397977</v>
      </c>
      <c r="AI34" s="614">
        <f t="shared" si="4"/>
        <v>5.8653936240397977</v>
      </c>
      <c r="AJ34" s="614">
        <f t="shared" si="4"/>
        <v>5.8653936240397977</v>
      </c>
      <c r="AK34" s="614">
        <f t="shared" si="4"/>
        <v>0</v>
      </c>
      <c r="AL34" s="614">
        <f t="shared" si="4"/>
        <v>0</v>
      </c>
      <c r="AM34" s="614">
        <f t="shared" si="4"/>
        <v>0</v>
      </c>
      <c r="AN34" s="614">
        <f t="shared" si="4"/>
        <v>0</v>
      </c>
      <c r="AO34" s="614">
        <f t="shared" si="4"/>
        <v>0</v>
      </c>
      <c r="AP34" s="614">
        <f t="shared" si="4"/>
        <v>0</v>
      </c>
      <c r="AQ34" s="614">
        <f t="shared" si="4"/>
        <v>0</v>
      </c>
      <c r="AR34" s="614">
        <f t="shared" si="4"/>
        <v>0</v>
      </c>
      <c r="AS34" s="614">
        <f t="shared" si="4"/>
        <v>0</v>
      </c>
      <c r="AT34" s="616">
        <f t="shared" si="4"/>
        <v>0</v>
      </c>
    </row>
    <row r="35" spans="1:46" ht="20.399999999999999" customHeight="1" x14ac:dyDescent="0.3">
      <c r="A35" s="83"/>
      <c r="B35" s="657" t="s">
        <v>440</v>
      </c>
      <c r="C35" s="563">
        <f t="shared" ref="C35:AT35" si="5">C27-SUM(C29:C34)</f>
        <v>0</v>
      </c>
      <c r="D35" s="660">
        <f t="shared" si="5"/>
        <v>-31.005231221516926</v>
      </c>
      <c r="E35" s="660">
        <f t="shared" si="5"/>
        <v>-31.005231221516926</v>
      </c>
      <c r="F35" s="660">
        <f t="shared" si="5"/>
        <v>-31.005231221516926</v>
      </c>
      <c r="G35" s="659">
        <f>G27-SUM(G29:G34)</f>
        <v>6.9299023599614529</v>
      </c>
      <c r="H35" s="660">
        <f t="shared" si="5"/>
        <v>11.308922220815575</v>
      </c>
      <c r="I35" s="660">
        <f t="shared" si="5"/>
        <v>11.308922220815575</v>
      </c>
      <c r="J35" s="660">
        <f t="shared" si="5"/>
        <v>11.308922220815575</v>
      </c>
      <c r="K35" s="660">
        <f t="shared" si="5"/>
        <v>11.308922220815575</v>
      </c>
      <c r="L35" s="660">
        <f t="shared" si="5"/>
        <v>11.308922220815575</v>
      </c>
      <c r="M35" s="660">
        <f t="shared" si="5"/>
        <v>11.308922220815575</v>
      </c>
      <c r="N35" s="660">
        <f t="shared" si="5"/>
        <v>11.308922220815575</v>
      </c>
      <c r="O35" s="660">
        <f t="shared" si="5"/>
        <v>11.308922220815575</v>
      </c>
      <c r="P35" s="660">
        <f t="shared" si="5"/>
        <v>11.308922220815575</v>
      </c>
      <c r="Q35" s="660">
        <f t="shared" si="5"/>
        <v>11.308922220815575</v>
      </c>
      <c r="R35" s="660">
        <f t="shared" si="5"/>
        <v>11.308922220815575</v>
      </c>
      <c r="S35" s="660">
        <f t="shared" si="5"/>
        <v>11.308922220815575</v>
      </c>
      <c r="T35" s="660">
        <f t="shared" si="5"/>
        <v>11.308922220815575</v>
      </c>
      <c r="U35" s="660">
        <f t="shared" si="5"/>
        <v>11.308922220815575</v>
      </c>
      <c r="V35" s="660">
        <f t="shared" si="5"/>
        <v>11.308922220815575</v>
      </c>
      <c r="W35" s="660">
        <f t="shared" si="5"/>
        <v>11.308922220815575</v>
      </c>
      <c r="X35" s="660">
        <f t="shared" si="5"/>
        <v>11.308922220815575</v>
      </c>
      <c r="Y35" s="660">
        <f t="shared" si="5"/>
        <v>11.308922220815575</v>
      </c>
      <c r="Z35" s="660">
        <f t="shared" si="5"/>
        <v>11.308922220815575</v>
      </c>
      <c r="AA35" s="660">
        <f t="shared" si="5"/>
        <v>11.308922220815575</v>
      </c>
      <c r="AB35" s="660">
        <f t="shared" si="5"/>
        <v>11.308922220815575</v>
      </c>
      <c r="AC35" s="660">
        <f t="shared" si="5"/>
        <v>11.308922220815575</v>
      </c>
      <c r="AD35" s="660">
        <f t="shared" si="5"/>
        <v>11.308922220815575</v>
      </c>
      <c r="AE35" s="660">
        <f t="shared" si="5"/>
        <v>11.308922220815575</v>
      </c>
      <c r="AF35" s="660">
        <f t="shared" si="5"/>
        <v>11.308922220815575</v>
      </c>
      <c r="AG35" s="660">
        <f t="shared" si="5"/>
        <v>11.308922220815575</v>
      </c>
      <c r="AH35" s="660">
        <f t="shared" si="5"/>
        <v>11.308922220815575</v>
      </c>
      <c r="AI35" s="660">
        <f t="shared" si="5"/>
        <v>11.308922220815575</v>
      </c>
      <c r="AJ35" s="660">
        <f t="shared" si="5"/>
        <v>11.308922220815575</v>
      </c>
      <c r="AK35" s="660">
        <f t="shared" si="5"/>
        <v>0</v>
      </c>
      <c r="AL35" s="660">
        <f t="shared" si="5"/>
        <v>0</v>
      </c>
      <c r="AM35" s="660">
        <f t="shared" si="5"/>
        <v>0</v>
      </c>
      <c r="AN35" s="660">
        <f t="shared" si="5"/>
        <v>0</v>
      </c>
      <c r="AO35" s="660">
        <f t="shared" si="5"/>
        <v>0</v>
      </c>
      <c r="AP35" s="660">
        <f t="shared" si="5"/>
        <v>0</v>
      </c>
      <c r="AQ35" s="660">
        <f t="shared" si="5"/>
        <v>0</v>
      </c>
      <c r="AR35" s="660">
        <f t="shared" si="5"/>
        <v>0</v>
      </c>
      <c r="AS35" s="660">
        <f t="shared" si="5"/>
        <v>0</v>
      </c>
      <c r="AT35" s="661">
        <f t="shared" si="5"/>
        <v>0</v>
      </c>
    </row>
    <row r="36" spans="1:46" ht="20.399999999999999" customHeight="1" x14ac:dyDescent="0.3">
      <c r="A36" s="83"/>
      <c r="B36" s="605" t="s">
        <v>444</v>
      </c>
      <c r="C36" s="614">
        <v>1</v>
      </c>
      <c r="D36" s="614">
        <f>C36/(1+$D$21)</f>
        <v>0.90909090909090906</v>
      </c>
      <c r="E36" s="614">
        <f>D36/(1+$D$21)</f>
        <v>0.82644628099173545</v>
      </c>
      <c r="F36" s="614">
        <f>E36/(1+$D$21)</f>
        <v>0.75131480090157765</v>
      </c>
      <c r="G36" s="615">
        <f>F36/(1+$D$21)</f>
        <v>0.68301345536507052</v>
      </c>
      <c r="H36" s="614">
        <f t="shared" ref="H36:AT36" si="6">IF(H24&lt;=$D$16,G36/(1+$D$21),0)</f>
        <v>0.62092132305915493</v>
      </c>
      <c r="I36" s="614">
        <f t="shared" si="6"/>
        <v>0.56447393005377711</v>
      </c>
      <c r="J36" s="614">
        <f t="shared" si="6"/>
        <v>0.51315811823070645</v>
      </c>
      <c r="K36" s="614">
        <f t="shared" si="6"/>
        <v>0.46650738020973309</v>
      </c>
      <c r="L36" s="614">
        <f t="shared" si="6"/>
        <v>0.42409761837248461</v>
      </c>
      <c r="M36" s="614">
        <f t="shared" si="6"/>
        <v>0.38554328942953142</v>
      </c>
      <c r="N36" s="614">
        <f t="shared" si="6"/>
        <v>0.35049389948139215</v>
      </c>
      <c r="O36" s="614">
        <f t="shared" si="6"/>
        <v>0.31863081771035645</v>
      </c>
      <c r="P36" s="614">
        <f t="shared" si="6"/>
        <v>0.28966437973668768</v>
      </c>
      <c r="Q36" s="614">
        <f t="shared" si="6"/>
        <v>0.26333125430607968</v>
      </c>
      <c r="R36" s="614">
        <f t="shared" si="6"/>
        <v>0.23939204936916333</v>
      </c>
      <c r="S36" s="614">
        <f t="shared" si="6"/>
        <v>0.21762913579014848</v>
      </c>
      <c r="T36" s="614">
        <f t="shared" si="6"/>
        <v>0.19784466890013497</v>
      </c>
      <c r="U36" s="614">
        <f t="shared" si="6"/>
        <v>0.17985878990921358</v>
      </c>
      <c r="V36" s="614">
        <f t="shared" si="6"/>
        <v>0.16350799082655779</v>
      </c>
      <c r="W36" s="614">
        <f t="shared" si="6"/>
        <v>0.14864362802414344</v>
      </c>
      <c r="X36" s="614">
        <f t="shared" si="6"/>
        <v>0.13513057093103947</v>
      </c>
      <c r="Y36" s="614">
        <f t="shared" si="6"/>
        <v>0.12284597357367223</v>
      </c>
      <c r="Z36" s="614">
        <f t="shared" si="6"/>
        <v>0.11167815779424747</v>
      </c>
      <c r="AA36" s="614">
        <f t="shared" si="6"/>
        <v>0.10152559799477043</v>
      </c>
      <c r="AB36" s="614">
        <f t="shared" si="6"/>
        <v>9.229599817706402E-2</v>
      </c>
      <c r="AC36" s="614">
        <f t="shared" si="6"/>
        <v>8.3905452888240015E-2</v>
      </c>
      <c r="AD36" s="614">
        <f t="shared" si="6"/>
        <v>7.6277684443854549E-2</v>
      </c>
      <c r="AE36" s="614">
        <f t="shared" si="6"/>
        <v>6.9343349494413217E-2</v>
      </c>
      <c r="AF36" s="614">
        <f t="shared" si="6"/>
        <v>6.3039408631284738E-2</v>
      </c>
      <c r="AG36" s="614">
        <f t="shared" si="6"/>
        <v>5.7308553301167936E-2</v>
      </c>
      <c r="AH36" s="614">
        <f t="shared" si="6"/>
        <v>5.2098684819243575E-2</v>
      </c>
      <c r="AI36" s="614">
        <f t="shared" si="6"/>
        <v>4.7362440744766886E-2</v>
      </c>
      <c r="AJ36" s="614">
        <f t="shared" si="6"/>
        <v>4.3056764313424437E-2</v>
      </c>
      <c r="AK36" s="614">
        <f t="shared" si="6"/>
        <v>0</v>
      </c>
      <c r="AL36" s="614">
        <f t="shared" si="6"/>
        <v>0</v>
      </c>
      <c r="AM36" s="614">
        <f t="shared" si="6"/>
        <v>0</v>
      </c>
      <c r="AN36" s="614">
        <f t="shared" si="6"/>
        <v>0</v>
      </c>
      <c r="AO36" s="614">
        <f t="shared" si="6"/>
        <v>0</v>
      </c>
      <c r="AP36" s="614">
        <f t="shared" si="6"/>
        <v>0</v>
      </c>
      <c r="AQ36" s="614">
        <f t="shared" si="6"/>
        <v>0</v>
      </c>
      <c r="AR36" s="614">
        <f t="shared" si="6"/>
        <v>0</v>
      </c>
      <c r="AS36" s="614">
        <f t="shared" si="6"/>
        <v>0</v>
      </c>
      <c r="AT36" s="616">
        <f t="shared" si="6"/>
        <v>0</v>
      </c>
    </row>
    <row r="37" spans="1:46" ht="20.399999999999999" customHeight="1" x14ac:dyDescent="0.3">
      <c r="A37" s="83"/>
      <c r="B37" s="605" t="s">
        <v>445</v>
      </c>
      <c r="C37" s="559">
        <f>C35*C36</f>
        <v>0</v>
      </c>
      <c r="D37" s="614">
        <f>D35*D36</f>
        <v>-28.18657383774266</v>
      </c>
      <c r="E37" s="614">
        <f>E35*E36</f>
        <v>-25.624158034311506</v>
      </c>
      <c r="F37" s="614">
        <f>F35*F36</f>
        <v>-23.294689122101367</v>
      </c>
      <c r="G37" s="615">
        <f t="shared" ref="G37:AT37" si="7">G35*G36</f>
        <v>4.733216556219829</v>
      </c>
      <c r="H37" s="614">
        <f t="shared" si="7"/>
        <v>7.0219509477218836</v>
      </c>
      <c r="I37" s="614">
        <f t="shared" si="7"/>
        <v>6.3835917706562562</v>
      </c>
      <c r="J37" s="614">
        <f t="shared" si="7"/>
        <v>5.8032652460511418</v>
      </c>
      <c r="K37" s="614">
        <f t="shared" si="7"/>
        <v>5.2756956782283106</v>
      </c>
      <c r="L37" s="614">
        <f t="shared" si="7"/>
        <v>4.796086980207555</v>
      </c>
      <c r="M37" s="614">
        <f t="shared" si="7"/>
        <v>4.3600790729159584</v>
      </c>
      <c r="N37" s="614">
        <f t="shared" si="7"/>
        <v>3.9637082481054162</v>
      </c>
      <c r="O37" s="614">
        <f t="shared" si="7"/>
        <v>3.6033711346412867</v>
      </c>
      <c r="P37" s="614">
        <f t="shared" si="7"/>
        <v>3.2757919405829878</v>
      </c>
      <c r="Q37" s="614">
        <f t="shared" si="7"/>
        <v>2.9779926732572615</v>
      </c>
      <c r="R37" s="614">
        <f t="shared" si="7"/>
        <v>2.7072660665975103</v>
      </c>
      <c r="S37" s="614">
        <f t="shared" si="7"/>
        <v>2.4611509696341001</v>
      </c>
      <c r="T37" s="614">
        <f t="shared" si="7"/>
        <v>2.2374099723946363</v>
      </c>
      <c r="U37" s="614">
        <f t="shared" si="7"/>
        <v>2.0340090658133057</v>
      </c>
      <c r="V37" s="614">
        <f t="shared" si="7"/>
        <v>1.8490991507393686</v>
      </c>
      <c r="W37" s="614">
        <f t="shared" si="7"/>
        <v>1.6809992279448804</v>
      </c>
      <c r="X37" s="614">
        <f t="shared" si="7"/>
        <v>1.5281811163135275</v>
      </c>
      <c r="Y37" s="614">
        <f t="shared" si="7"/>
        <v>1.3892555602850247</v>
      </c>
      <c r="Z37" s="614">
        <f t="shared" si="7"/>
        <v>1.2629596002591132</v>
      </c>
      <c r="AA37" s="614">
        <f t="shared" si="7"/>
        <v>1.1481450911446485</v>
      </c>
      <c r="AB37" s="614">
        <f t="shared" si="7"/>
        <v>1.0437682646769531</v>
      </c>
      <c r="AC37" s="614">
        <f t="shared" si="7"/>
        <v>0.94888024061541187</v>
      </c>
      <c r="AD37" s="614">
        <f t="shared" si="7"/>
        <v>0.86261840055946515</v>
      </c>
      <c r="AE37" s="614">
        <f t="shared" si="7"/>
        <v>0.78419854596315008</v>
      </c>
      <c r="AF37" s="614">
        <f t="shared" si="7"/>
        <v>0.71290776905740916</v>
      </c>
      <c r="AG37" s="614">
        <f t="shared" si="7"/>
        <v>0.64809797187037188</v>
      </c>
      <c r="AH37" s="614">
        <f t="shared" si="7"/>
        <v>0.58917997442761072</v>
      </c>
      <c r="AI37" s="614">
        <f t="shared" si="7"/>
        <v>0.53561815857055517</v>
      </c>
      <c r="AJ37" s="614">
        <f t="shared" si="7"/>
        <v>0.48692559870050467</v>
      </c>
      <c r="AK37" s="614">
        <f t="shared" si="7"/>
        <v>0</v>
      </c>
      <c r="AL37" s="614">
        <f t="shared" si="7"/>
        <v>0</v>
      </c>
      <c r="AM37" s="614">
        <f t="shared" si="7"/>
        <v>0</v>
      </c>
      <c r="AN37" s="614">
        <f t="shared" si="7"/>
        <v>0</v>
      </c>
      <c r="AO37" s="614">
        <f t="shared" si="7"/>
        <v>0</v>
      </c>
      <c r="AP37" s="614">
        <f t="shared" si="7"/>
        <v>0</v>
      </c>
      <c r="AQ37" s="614">
        <f t="shared" si="7"/>
        <v>0</v>
      </c>
      <c r="AR37" s="614">
        <f t="shared" si="7"/>
        <v>0</v>
      </c>
      <c r="AS37" s="614">
        <f t="shared" si="7"/>
        <v>0</v>
      </c>
      <c r="AT37" s="616">
        <f t="shared" si="7"/>
        <v>0</v>
      </c>
    </row>
    <row r="38" spans="1:46" ht="20.399999999999999" customHeight="1" x14ac:dyDescent="0.3">
      <c r="A38" s="83"/>
      <c r="B38" s="605" t="s">
        <v>446</v>
      </c>
      <c r="C38" s="559">
        <f>+C37</f>
        <v>0</v>
      </c>
      <c r="D38" s="614">
        <f>D35+C38</f>
        <v>-31.005231221516926</v>
      </c>
      <c r="E38" s="614">
        <f>E35+D38</f>
        <v>-62.010462443033852</v>
      </c>
      <c r="F38" s="614">
        <f>F35+E38</f>
        <v>-93.015693664550781</v>
      </c>
      <c r="G38" s="615">
        <f>G35+F38</f>
        <v>-86.085791304589321</v>
      </c>
      <c r="H38" s="614">
        <f t="shared" ref="H38:AT38" si="8">IF(H24&lt;=$D$16,H35+G38,0)</f>
        <v>-74.776869083773747</v>
      </c>
      <c r="I38" s="614">
        <f t="shared" si="8"/>
        <v>-63.467946862958172</v>
      </c>
      <c r="J38" s="614">
        <f t="shared" si="8"/>
        <v>-52.159024642142597</v>
      </c>
      <c r="K38" s="614">
        <f t="shared" si="8"/>
        <v>-40.850102421327023</v>
      </c>
      <c r="L38" s="614">
        <f t="shared" si="8"/>
        <v>-29.541180200511448</v>
      </c>
      <c r="M38" s="614">
        <f t="shared" si="8"/>
        <v>-18.232257979695873</v>
      </c>
      <c r="N38" s="614">
        <f t="shared" si="8"/>
        <v>-6.9233357588802988</v>
      </c>
      <c r="O38" s="614">
        <f t="shared" si="8"/>
        <v>4.3855864619352758</v>
      </c>
      <c r="P38" s="614">
        <f t="shared" si="8"/>
        <v>15.69450868275085</v>
      </c>
      <c r="Q38" s="614">
        <f t="shared" si="8"/>
        <v>27.003430903566425</v>
      </c>
      <c r="R38" s="614">
        <f t="shared" si="8"/>
        <v>38.312353124382</v>
      </c>
      <c r="S38" s="614">
        <f t="shared" si="8"/>
        <v>49.621275345197574</v>
      </c>
      <c r="T38" s="614">
        <f t="shared" si="8"/>
        <v>60.930197566013149</v>
      </c>
      <c r="U38" s="614">
        <f t="shared" si="8"/>
        <v>72.239119786828724</v>
      </c>
      <c r="V38" s="614">
        <f t="shared" si="8"/>
        <v>83.548042007644298</v>
      </c>
      <c r="W38" s="614">
        <f t="shared" si="8"/>
        <v>94.856964228459873</v>
      </c>
      <c r="X38" s="614">
        <f t="shared" si="8"/>
        <v>106.16588644927545</v>
      </c>
      <c r="Y38" s="614">
        <f t="shared" si="8"/>
        <v>117.47480867009102</v>
      </c>
      <c r="Z38" s="614">
        <f t="shared" si="8"/>
        <v>128.78373089090661</v>
      </c>
      <c r="AA38" s="614">
        <f t="shared" si="8"/>
        <v>140.0926531117222</v>
      </c>
      <c r="AB38" s="614">
        <f t="shared" si="8"/>
        <v>151.40157533253779</v>
      </c>
      <c r="AC38" s="614">
        <f t="shared" si="8"/>
        <v>162.71049755335338</v>
      </c>
      <c r="AD38" s="614">
        <f t="shared" si="8"/>
        <v>174.01941977416897</v>
      </c>
      <c r="AE38" s="614">
        <f t="shared" si="8"/>
        <v>185.32834199498456</v>
      </c>
      <c r="AF38" s="614">
        <f t="shared" si="8"/>
        <v>196.63726421580014</v>
      </c>
      <c r="AG38" s="614">
        <f t="shared" si="8"/>
        <v>207.94618643661573</v>
      </c>
      <c r="AH38" s="614">
        <f t="shared" si="8"/>
        <v>219.25510865743132</v>
      </c>
      <c r="AI38" s="614">
        <f t="shared" si="8"/>
        <v>230.56403087824691</v>
      </c>
      <c r="AJ38" s="614">
        <f t="shared" si="8"/>
        <v>241.8729530990625</v>
      </c>
      <c r="AK38" s="614">
        <f t="shared" si="8"/>
        <v>0</v>
      </c>
      <c r="AL38" s="614">
        <f t="shared" si="8"/>
        <v>0</v>
      </c>
      <c r="AM38" s="614">
        <f t="shared" si="8"/>
        <v>0</v>
      </c>
      <c r="AN38" s="614">
        <f t="shared" si="8"/>
        <v>0</v>
      </c>
      <c r="AO38" s="614">
        <f t="shared" si="8"/>
        <v>0</v>
      </c>
      <c r="AP38" s="614">
        <f t="shared" si="8"/>
        <v>0</v>
      </c>
      <c r="AQ38" s="614">
        <f t="shared" si="8"/>
        <v>0</v>
      </c>
      <c r="AR38" s="614">
        <f t="shared" si="8"/>
        <v>0</v>
      </c>
      <c r="AS38" s="614">
        <f t="shared" si="8"/>
        <v>0</v>
      </c>
      <c r="AT38" s="616">
        <f t="shared" si="8"/>
        <v>0</v>
      </c>
    </row>
    <row r="39" spans="1:46" ht="20.399999999999999" customHeight="1" x14ac:dyDescent="0.3">
      <c r="A39" s="83"/>
      <c r="B39" s="607" t="s">
        <v>447</v>
      </c>
      <c r="C39" s="563">
        <f>+C38</f>
        <v>0</v>
      </c>
      <c r="D39" s="660">
        <f>D37+C39</f>
        <v>-28.18657383774266</v>
      </c>
      <c r="E39" s="660">
        <f>E37+D39</f>
        <v>-53.810731872054163</v>
      </c>
      <c r="F39" s="660">
        <f>F37+E39</f>
        <v>-77.105420994155537</v>
      </c>
      <c r="G39" s="659">
        <f>G37+F39</f>
        <v>-72.372204437935707</v>
      </c>
      <c r="H39" s="660">
        <f t="shared" ref="H39:AT39" si="9">IF(H24&lt;=$D$16,H37+G39,0)</f>
        <v>-65.350253490213817</v>
      </c>
      <c r="I39" s="660">
        <f t="shared" si="9"/>
        <v>-58.966661719557564</v>
      </c>
      <c r="J39" s="660">
        <f t="shared" si="9"/>
        <v>-53.163396473506424</v>
      </c>
      <c r="K39" s="660">
        <f t="shared" si="9"/>
        <v>-47.887700795278114</v>
      </c>
      <c r="L39" s="660">
        <f t="shared" si="9"/>
        <v>-43.091613815070559</v>
      </c>
      <c r="M39" s="660">
        <f t="shared" si="9"/>
        <v>-38.731534742154601</v>
      </c>
      <c r="N39" s="660">
        <f t="shared" si="9"/>
        <v>-34.767826494049181</v>
      </c>
      <c r="O39" s="660">
        <f t="shared" si="9"/>
        <v>-31.164455359407896</v>
      </c>
      <c r="P39" s="660">
        <f t="shared" si="9"/>
        <v>-27.888663418824908</v>
      </c>
      <c r="Q39" s="660">
        <f t="shared" si="9"/>
        <v>-24.910670745567646</v>
      </c>
      <c r="R39" s="660">
        <f t="shared" si="9"/>
        <v>-22.203404678970138</v>
      </c>
      <c r="S39" s="660">
        <f t="shared" si="9"/>
        <v>-19.742253709336037</v>
      </c>
      <c r="T39" s="660">
        <f t="shared" si="9"/>
        <v>-17.5048437369414</v>
      </c>
      <c r="U39" s="660">
        <f t="shared" si="9"/>
        <v>-15.470834671128094</v>
      </c>
      <c r="V39" s="660">
        <f t="shared" si="9"/>
        <v>-13.621735520388725</v>
      </c>
      <c r="W39" s="660">
        <f t="shared" si="9"/>
        <v>-11.940736292443844</v>
      </c>
      <c r="X39" s="660">
        <f t="shared" si="9"/>
        <v>-10.412555176130317</v>
      </c>
      <c r="Y39" s="660">
        <f t="shared" si="9"/>
        <v>-9.0232996158452927</v>
      </c>
      <c r="Z39" s="660">
        <f t="shared" si="9"/>
        <v>-7.7603400155861797</v>
      </c>
      <c r="AA39" s="660">
        <f t="shared" si="9"/>
        <v>-6.612194924441531</v>
      </c>
      <c r="AB39" s="660">
        <f t="shared" si="9"/>
        <v>-5.5684266597645777</v>
      </c>
      <c r="AC39" s="660">
        <f t="shared" si="9"/>
        <v>-4.6195464191491658</v>
      </c>
      <c r="AD39" s="660">
        <f t="shared" si="9"/>
        <v>-3.7569280185897007</v>
      </c>
      <c r="AE39" s="660">
        <f t="shared" si="9"/>
        <v>-2.9727294726265505</v>
      </c>
      <c r="AF39" s="660">
        <f t="shared" si="9"/>
        <v>-2.2598217035691412</v>
      </c>
      <c r="AG39" s="660">
        <f t="shared" si="9"/>
        <v>-1.6117237316987694</v>
      </c>
      <c r="AH39" s="660">
        <f t="shared" si="9"/>
        <v>-1.0225437572711586</v>
      </c>
      <c r="AI39" s="660">
        <f t="shared" si="9"/>
        <v>-0.48692559870060348</v>
      </c>
      <c r="AJ39" s="660">
        <f t="shared" si="9"/>
        <v>-9.8809849191638932E-14</v>
      </c>
      <c r="AK39" s="660">
        <f t="shared" si="9"/>
        <v>0</v>
      </c>
      <c r="AL39" s="660">
        <f t="shared" si="9"/>
        <v>0</v>
      </c>
      <c r="AM39" s="660">
        <f t="shared" si="9"/>
        <v>0</v>
      </c>
      <c r="AN39" s="660">
        <f t="shared" si="9"/>
        <v>0</v>
      </c>
      <c r="AO39" s="660">
        <f t="shared" si="9"/>
        <v>0</v>
      </c>
      <c r="AP39" s="660">
        <f t="shared" si="9"/>
        <v>0</v>
      </c>
      <c r="AQ39" s="660">
        <f t="shared" si="9"/>
        <v>0</v>
      </c>
      <c r="AR39" s="660">
        <f t="shared" si="9"/>
        <v>0</v>
      </c>
      <c r="AS39" s="660">
        <f t="shared" si="9"/>
        <v>0</v>
      </c>
      <c r="AT39" s="661">
        <f t="shared" si="9"/>
        <v>0</v>
      </c>
    </row>
    <row r="40" spans="1:46" ht="20.399999999999999" customHeight="1" x14ac:dyDescent="0.3">
      <c r="A40" s="83"/>
      <c r="B40" s="105"/>
      <c r="C40" s="174">
        <f>+C24</f>
        <v>-4</v>
      </c>
      <c r="D40" s="174">
        <f t="shared" ref="D40:AT40" si="10">+D24</f>
        <v>-3</v>
      </c>
      <c r="E40" s="174">
        <f t="shared" si="10"/>
        <v>-2</v>
      </c>
      <c r="F40" s="174">
        <f t="shared" si="10"/>
        <v>-1</v>
      </c>
      <c r="G40" s="174">
        <f t="shared" si="10"/>
        <v>1</v>
      </c>
      <c r="H40" s="174">
        <f t="shared" si="10"/>
        <v>2</v>
      </c>
      <c r="I40" s="174">
        <f t="shared" si="10"/>
        <v>3</v>
      </c>
      <c r="J40" s="174">
        <f t="shared" si="10"/>
        <v>4</v>
      </c>
      <c r="K40" s="174">
        <f t="shared" si="10"/>
        <v>5</v>
      </c>
      <c r="L40" s="174">
        <f t="shared" si="10"/>
        <v>6</v>
      </c>
      <c r="M40" s="174">
        <f t="shared" si="10"/>
        <v>7</v>
      </c>
      <c r="N40" s="174">
        <f t="shared" si="10"/>
        <v>8</v>
      </c>
      <c r="O40" s="174">
        <f t="shared" si="10"/>
        <v>9</v>
      </c>
      <c r="P40" s="174">
        <f t="shared" si="10"/>
        <v>10</v>
      </c>
      <c r="Q40" s="174">
        <f t="shared" si="10"/>
        <v>11</v>
      </c>
      <c r="R40" s="174">
        <f t="shared" si="10"/>
        <v>12</v>
      </c>
      <c r="S40" s="174">
        <f t="shared" si="10"/>
        <v>13</v>
      </c>
      <c r="T40" s="174">
        <f t="shared" si="10"/>
        <v>14</v>
      </c>
      <c r="U40" s="174">
        <f t="shared" si="10"/>
        <v>15</v>
      </c>
      <c r="V40" s="174">
        <f t="shared" si="10"/>
        <v>16</v>
      </c>
      <c r="W40" s="174">
        <f t="shared" si="10"/>
        <v>17</v>
      </c>
      <c r="X40" s="174">
        <f t="shared" si="10"/>
        <v>18</v>
      </c>
      <c r="Y40" s="174">
        <f t="shared" si="10"/>
        <v>19</v>
      </c>
      <c r="Z40" s="174">
        <f t="shared" si="10"/>
        <v>20</v>
      </c>
      <c r="AA40" s="174">
        <f t="shared" si="10"/>
        <v>21</v>
      </c>
      <c r="AB40" s="174">
        <f t="shared" si="10"/>
        <v>22</v>
      </c>
      <c r="AC40" s="174">
        <f t="shared" si="10"/>
        <v>23</v>
      </c>
      <c r="AD40" s="174">
        <f t="shared" si="10"/>
        <v>24</v>
      </c>
      <c r="AE40" s="174">
        <f t="shared" si="10"/>
        <v>25</v>
      </c>
      <c r="AF40" s="174">
        <f t="shared" si="10"/>
        <v>26</v>
      </c>
      <c r="AG40" s="174">
        <f t="shared" si="10"/>
        <v>27</v>
      </c>
      <c r="AH40" s="174">
        <f t="shared" si="10"/>
        <v>28</v>
      </c>
      <c r="AI40" s="174">
        <f t="shared" si="10"/>
        <v>29</v>
      </c>
      <c r="AJ40" s="174">
        <f t="shared" si="10"/>
        <v>30</v>
      </c>
      <c r="AK40" s="174">
        <f t="shared" si="10"/>
        <v>31</v>
      </c>
      <c r="AL40" s="174">
        <f t="shared" si="10"/>
        <v>32</v>
      </c>
      <c r="AM40" s="174">
        <f t="shared" si="10"/>
        <v>33</v>
      </c>
      <c r="AN40" s="174">
        <f t="shared" si="10"/>
        <v>34</v>
      </c>
      <c r="AO40" s="174">
        <f t="shared" si="10"/>
        <v>35</v>
      </c>
      <c r="AP40" s="174">
        <f t="shared" si="10"/>
        <v>36</v>
      </c>
      <c r="AQ40" s="174">
        <f t="shared" si="10"/>
        <v>37</v>
      </c>
      <c r="AR40" s="174">
        <f t="shared" si="10"/>
        <v>38</v>
      </c>
      <c r="AS40" s="174">
        <f t="shared" si="10"/>
        <v>39</v>
      </c>
      <c r="AT40" s="174">
        <f t="shared" si="10"/>
        <v>40</v>
      </c>
    </row>
    <row r="41" spans="1:46" ht="20.399999999999999" customHeight="1" x14ac:dyDescent="0.3">
      <c r="A41" s="83"/>
      <c r="B41" s="1269" t="s">
        <v>1090</v>
      </c>
      <c r="C41" s="1269"/>
      <c r="D41" s="1269"/>
      <c r="E41" s="1269"/>
      <c r="F41" s="1269"/>
      <c r="G41" s="1269"/>
      <c r="H41" s="1269"/>
      <c r="I41" s="1269"/>
      <c r="J41" s="1269"/>
      <c r="K41" s="1269"/>
      <c r="M41" s="1011" t="s">
        <v>577</v>
      </c>
      <c r="N41" s="1021" t="s">
        <v>578</v>
      </c>
      <c r="P41" s="1252" t="str">
        <f>"Sensitivity Results: "&amp;H14</f>
        <v xml:space="preserve">Sensitivity Results: GSR-H₂ </v>
      </c>
      <c r="Q41" s="1253"/>
      <c r="R41" s="1253"/>
      <c r="S41" s="1254"/>
      <c r="T41" s="1028"/>
      <c r="U41" s="1028"/>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ht="20.399999999999999" customHeight="1" x14ac:dyDescent="0.3">
      <c r="A42" s="83"/>
      <c r="B42" s="1016" t="s">
        <v>1091</v>
      </c>
      <c r="C42" s="1016" t="s">
        <v>1100</v>
      </c>
      <c r="D42" s="1017" t="s">
        <v>1092</v>
      </c>
      <c r="E42" s="1017" t="s">
        <v>1099</v>
      </c>
      <c r="F42" s="1018" t="s">
        <v>1093</v>
      </c>
      <c r="G42" s="1018" t="s">
        <v>1094</v>
      </c>
      <c r="H42" s="1019" t="s">
        <v>1095</v>
      </c>
      <c r="I42" s="1019" t="s">
        <v>1096</v>
      </c>
      <c r="J42" s="876" t="s">
        <v>1103</v>
      </c>
      <c r="K42" s="1025" t="s">
        <v>1104</v>
      </c>
      <c r="M42" s="93"/>
      <c r="N42" s="84"/>
      <c r="P42" s="1270" t="str">
        <f>+D43</f>
        <v>NG price</v>
      </c>
      <c r="Q42" s="1271"/>
      <c r="R42" s="1270" t="str">
        <f>+D44</f>
        <v>Electricity</v>
      </c>
      <c r="S42" s="1271"/>
      <c r="T42" s="1267"/>
      <c r="U42" s="1268"/>
      <c r="V42" s="83"/>
      <c r="W42" s="83"/>
      <c r="X42" s="83"/>
      <c r="Y42" s="83"/>
      <c r="Z42" s="83"/>
      <c r="AA42" s="83"/>
      <c r="AB42" s="83"/>
      <c r="AC42" s="83"/>
      <c r="AD42" s="83"/>
      <c r="AE42" s="83"/>
      <c r="AF42" s="83"/>
      <c r="AG42" s="83"/>
      <c r="AH42" s="83"/>
      <c r="AI42" s="83"/>
      <c r="AJ42" s="83"/>
      <c r="AK42" s="83"/>
    </row>
    <row r="43" spans="1:46" ht="20.399999999999999" customHeight="1" x14ac:dyDescent="0.3">
      <c r="A43" s="83"/>
      <c r="B43" s="1020" t="s">
        <v>662</v>
      </c>
      <c r="C43" s="1032" t="s">
        <v>1101</v>
      </c>
      <c r="D43" s="1026" t="s">
        <v>1098</v>
      </c>
      <c r="E43" s="1023" t="s">
        <v>1102</v>
      </c>
      <c r="F43" s="1024">
        <f>+I6</f>
        <v>1.6767696458905514</v>
      </c>
      <c r="G43" s="1026">
        <v>6.5</v>
      </c>
      <c r="H43" s="1026">
        <v>6.5</v>
      </c>
      <c r="I43" s="1026">
        <v>1.5</v>
      </c>
      <c r="J43" s="1026">
        <v>5</v>
      </c>
      <c r="K43" s="1031">
        <v>3.5</v>
      </c>
      <c r="M43" s="1022"/>
      <c r="N43" s="84"/>
      <c r="P43" s="277" t="str">
        <f>+Table63[[#Headers],[Man. Var.]]</f>
        <v>Man. Var.</v>
      </c>
      <c r="Q43" s="277" t="str">
        <f>+Table63[[#Headers],[Ind. Var]]</f>
        <v>Ind. Var</v>
      </c>
      <c r="R43" s="277" t="str">
        <f>+P43</f>
        <v>Man. Var.</v>
      </c>
      <c r="S43" s="277" t="str">
        <f>+Q43</f>
        <v>Ind. Var</v>
      </c>
      <c r="T43" s="1029"/>
      <c r="U43" s="1029"/>
      <c r="V43" s="83"/>
      <c r="W43" s="83"/>
      <c r="X43" s="83"/>
      <c r="Y43" s="83"/>
      <c r="Z43" s="83"/>
      <c r="AA43" s="83"/>
      <c r="AB43" s="83"/>
      <c r="AC43" s="83"/>
      <c r="AD43" s="83"/>
      <c r="AE43" s="83"/>
      <c r="AF43" s="83"/>
      <c r="AG43" s="83"/>
      <c r="AH43" s="83"/>
      <c r="AI43" s="83"/>
      <c r="AJ43" s="83"/>
      <c r="AK43" s="83"/>
    </row>
    <row r="44" spans="1:46" ht="20.399999999999999" customHeight="1" x14ac:dyDescent="0.3">
      <c r="A44" s="83"/>
      <c r="B44" s="1020" t="s">
        <v>662</v>
      </c>
      <c r="C44" s="1032" t="s">
        <v>1101</v>
      </c>
      <c r="D44" s="1026" t="s">
        <v>889</v>
      </c>
      <c r="E44" s="1023" t="s">
        <v>1105</v>
      </c>
      <c r="F44" s="1024">
        <f>+I6</f>
        <v>1.6767696458905514</v>
      </c>
      <c r="G44" s="1026">
        <v>60</v>
      </c>
      <c r="H44" s="1026">
        <v>60</v>
      </c>
      <c r="I44" s="1026">
        <v>20</v>
      </c>
      <c r="J44" s="1026">
        <v>5</v>
      </c>
      <c r="K44" s="1031">
        <v>20</v>
      </c>
      <c r="M44" s="1116" t="s">
        <v>1097</v>
      </c>
      <c r="N44" s="1117"/>
      <c r="P44" s="365">
        <v>3.5</v>
      </c>
      <c r="Q44" s="1030">
        <v>1.2712310900167054</v>
      </c>
      <c r="R44" s="1035">
        <v>20</v>
      </c>
      <c r="S44" s="1030">
        <v>1.6184762468162333</v>
      </c>
      <c r="T44" s="1036"/>
      <c r="U44" s="1036"/>
      <c r="V44" s="1037"/>
      <c r="W44" s="1037"/>
      <c r="X44" s="243"/>
      <c r="Y44" s="243"/>
      <c r="Z44" s="243"/>
      <c r="AA44" s="243"/>
      <c r="AB44" s="243"/>
      <c r="AC44" s="243"/>
      <c r="AD44" s="243"/>
      <c r="AE44" s="243"/>
      <c r="AF44" s="243"/>
      <c r="AG44" s="243"/>
      <c r="AH44" s="243"/>
      <c r="AI44" s="243"/>
      <c r="AJ44" s="243"/>
      <c r="AK44" s="243"/>
      <c r="AL44" s="243"/>
      <c r="AM44" s="83"/>
    </row>
    <row r="45" spans="1:46" ht="20.399999999999999" customHeight="1" x14ac:dyDescent="0.3">
      <c r="A45" s="83"/>
      <c r="B45" s="83"/>
      <c r="C45" s="1012"/>
      <c r="D45" s="1012"/>
      <c r="E45" s="83"/>
      <c r="F45" s="83"/>
      <c r="M45" s="91"/>
      <c r="N45" s="84"/>
      <c r="P45" s="360">
        <v>5</v>
      </c>
      <c r="Q45" s="361">
        <v>1.4740003679536282</v>
      </c>
      <c r="R45" s="1034">
        <v>40</v>
      </c>
      <c r="S45" s="361">
        <v>1.6476229463533925</v>
      </c>
      <c r="T45" s="1036"/>
      <c r="U45" s="1036"/>
      <c r="V45" s="1037"/>
      <c r="W45" s="1037"/>
      <c r="X45" s="243"/>
      <c r="Y45" s="243"/>
      <c r="Z45" s="243"/>
      <c r="AA45" s="243"/>
      <c r="AB45" s="243"/>
      <c r="AC45" s="243"/>
      <c r="AD45" s="243"/>
      <c r="AE45" s="243"/>
      <c r="AF45" s="243"/>
      <c r="AG45" s="243"/>
      <c r="AH45" s="243"/>
      <c r="AI45" s="243"/>
      <c r="AJ45" s="243"/>
      <c r="AK45" s="243"/>
      <c r="AL45" s="243"/>
      <c r="AM45" s="83"/>
    </row>
    <row r="46" spans="1:46" ht="20.399999999999999" customHeight="1" x14ac:dyDescent="0.3">
      <c r="A46" s="83"/>
      <c r="B46" s="83"/>
      <c r="C46" s="1013"/>
      <c r="D46" s="1013"/>
      <c r="E46" s="1013"/>
      <c r="F46" s="1014"/>
      <c r="I46" s="83"/>
      <c r="J46" s="83"/>
      <c r="M46" s="1015"/>
      <c r="N46" s="115"/>
      <c r="P46" s="360">
        <v>6.5</v>
      </c>
      <c r="Q46" s="361">
        <v>1.6767696458905521</v>
      </c>
      <c r="R46" s="1034">
        <v>60</v>
      </c>
      <c r="S46" s="361">
        <v>1.6767696458905517</v>
      </c>
      <c r="T46" s="1036"/>
      <c r="U46" s="1036"/>
      <c r="V46" s="1037"/>
      <c r="W46" s="1037"/>
      <c r="X46" s="243"/>
      <c r="Y46" s="243"/>
      <c r="Z46" s="243"/>
      <c r="AA46" s="243"/>
      <c r="AB46" s="243"/>
      <c r="AC46" s="243"/>
      <c r="AD46" s="243"/>
      <c r="AE46" s="243"/>
      <c r="AF46" s="243"/>
      <c r="AG46" s="243"/>
      <c r="AH46" s="243"/>
      <c r="AI46" s="243"/>
      <c r="AJ46" s="243"/>
      <c r="AK46" s="243"/>
      <c r="AL46" s="1038"/>
    </row>
    <row r="47" spans="1:46" ht="20.399999999999999" customHeight="1" x14ac:dyDescent="0.3">
      <c r="A47" s="83"/>
      <c r="B47" s="83"/>
      <c r="C47" s="1013"/>
      <c r="D47" s="1013"/>
      <c r="E47" s="1013"/>
      <c r="F47" s="1014"/>
      <c r="I47" s="83"/>
      <c r="J47" s="83"/>
      <c r="K47" s="83"/>
      <c r="L47" s="83"/>
      <c r="M47" s="83"/>
      <c r="N47" s="83"/>
      <c r="O47" s="83"/>
      <c r="P47" s="360">
        <v>8</v>
      </c>
      <c r="Q47" s="361">
        <v>1.8795389238274758</v>
      </c>
      <c r="R47" s="1034">
        <v>80</v>
      </c>
      <c r="S47" s="361">
        <v>1.7059163454277118</v>
      </c>
      <c r="T47" s="1036"/>
      <c r="U47" s="1036"/>
      <c r="V47" s="1037"/>
      <c r="W47" s="1037"/>
      <c r="X47" s="243"/>
      <c r="Y47" s="243"/>
      <c r="Z47" s="243"/>
      <c r="AA47" s="243"/>
      <c r="AB47" s="243"/>
      <c r="AC47" s="243"/>
      <c r="AD47" s="243"/>
      <c r="AE47" s="243"/>
      <c r="AF47" s="243"/>
      <c r="AG47" s="243"/>
      <c r="AH47" s="243"/>
      <c r="AI47" s="243"/>
      <c r="AJ47" s="243"/>
      <c r="AK47" s="243"/>
      <c r="AL47" s="1038"/>
    </row>
    <row r="48" spans="1:46" ht="20.399999999999999" customHeight="1" x14ac:dyDescent="0.3">
      <c r="A48" s="83"/>
      <c r="B48" s="105"/>
      <c r="C48" s="283"/>
      <c r="D48" s="283"/>
      <c r="E48" s="283"/>
      <c r="F48" s="282"/>
      <c r="G48" s="105"/>
      <c r="H48" s="83"/>
      <c r="I48" s="83"/>
      <c r="J48" s="83"/>
      <c r="K48" s="83"/>
      <c r="L48" s="83"/>
      <c r="M48" s="83"/>
      <c r="N48" s="83"/>
      <c r="O48" s="83"/>
      <c r="P48" s="362">
        <v>9.5</v>
      </c>
      <c r="Q48" s="363">
        <v>2.0823082017643983</v>
      </c>
      <c r="R48" s="335">
        <v>100</v>
      </c>
      <c r="S48" s="363">
        <v>1.7350630449648703</v>
      </c>
      <c r="T48" s="1036"/>
      <c r="U48" s="1036"/>
      <c r="V48" s="1037"/>
      <c r="W48" s="1037"/>
      <c r="X48" s="243"/>
      <c r="Y48" s="243"/>
      <c r="Z48" s="243"/>
      <c r="AA48" s="243"/>
      <c r="AB48" s="243"/>
      <c r="AC48" s="243"/>
      <c r="AD48" s="243"/>
      <c r="AE48" s="243"/>
      <c r="AF48" s="243"/>
      <c r="AG48" s="243"/>
      <c r="AH48" s="243"/>
      <c r="AI48" s="243"/>
      <c r="AJ48" s="243"/>
      <c r="AK48" s="243"/>
      <c r="AL48" s="1038"/>
    </row>
    <row r="49" spans="1:38" ht="20.399999999999999" customHeight="1" x14ac:dyDescent="0.3">
      <c r="A49" s="83"/>
      <c r="B49" s="105"/>
      <c r="C49" s="283"/>
      <c r="D49" s="283"/>
      <c r="E49" s="283"/>
      <c r="F49" s="282"/>
      <c r="G49" s="105"/>
      <c r="H49" s="83"/>
      <c r="I49" s="83"/>
      <c r="J49" s="83"/>
      <c r="K49" s="83"/>
      <c r="L49" s="83"/>
      <c r="M49" s="83"/>
      <c r="N49" s="83"/>
      <c r="O49" s="83"/>
      <c r="P49" s="1034"/>
      <c r="Q49" s="1034"/>
      <c r="R49" s="1034"/>
      <c r="S49" s="1034"/>
      <c r="T49" s="1036"/>
      <c r="U49" s="1036"/>
      <c r="V49" s="1037"/>
      <c r="W49" s="1037"/>
      <c r="X49" s="243"/>
      <c r="Y49" s="243"/>
      <c r="Z49" s="243"/>
      <c r="AA49" s="243"/>
      <c r="AB49" s="243"/>
      <c r="AC49" s="243"/>
      <c r="AD49" s="243"/>
      <c r="AE49" s="243"/>
      <c r="AF49" s="243"/>
      <c r="AG49" s="243"/>
      <c r="AH49" s="243"/>
      <c r="AI49" s="243"/>
      <c r="AJ49" s="243"/>
      <c r="AK49" s="243"/>
      <c r="AL49" s="1038"/>
    </row>
    <row r="50" spans="1:38" ht="20.399999999999999" customHeight="1" x14ac:dyDescent="0.3">
      <c r="A50" s="83"/>
      <c r="B50" s="105"/>
      <c r="C50" s="283"/>
      <c r="D50" s="284"/>
      <c r="E50" s="283"/>
      <c r="F50" s="282"/>
      <c r="G50" s="105"/>
      <c r="H50" s="83"/>
      <c r="I50" s="83"/>
      <c r="J50" s="83"/>
      <c r="K50" s="83"/>
      <c r="L50" s="83"/>
      <c r="M50" s="83"/>
      <c r="N50" s="83"/>
      <c r="O50" s="83"/>
      <c r="P50" s="1034"/>
      <c r="Q50" s="1034"/>
      <c r="R50" s="1034"/>
      <c r="S50" s="1034"/>
      <c r="T50" s="1036"/>
      <c r="U50" s="1036"/>
      <c r="V50" s="1037"/>
      <c r="W50" s="1037"/>
      <c r="X50" s="243"/>
      <c r="Y50" s="243"/>
      <c r="Z50" s="243"/>
      <c r="AA50" s="243"/>
      <c r="AB50" s="243"/>
      <c r="AC50" s="243"/>
      <c r="AD50" s="243"/>
      <c r="AE50" s="243"/>
      <c r="AF50" s="243"/>
      <c r="AG50" s="243"/>
      <c r="AH50" s="243"/>
      <c r="AI50" s="243"/>
      <c r="AJ50" s="243"/>
      <c r="AK50" s="243"/>
      <c r="AL50" s="1038"/>
    </row>
    <row r="51" spans="1:38" ht="20.399999999999999" customHeight="1" x14ac:dyDescent="0.3">
      <c r="A51" s="83"/>
      <c r="B51" s="105"/>
      <c r="C51" s="283"/>
      <c r="D51" s="284"/>
      <c r="E51" s="283"/>
      <c r="F51" s="282"/>
      <c r="G51" s="105"/>
      <c r="H51" s="83"/>
      <c r="I51" s="83"/>
      <c r="J51" s="83"/>
      <c r="K51" s="83"/>
      <c r="L51" s="83"/>
      <c r="M51" s="83"/>
      <c r="N51" s="83"/>
      <c r="O51" s="83"/>
      <c r="P51" s="1034"/>
      <c r="Q51" s="1034"/>
      <c r="R51" s="1034"/>
      <c r="S51" s="1034"/>
      <c r="T51" s="1036"/>
      <c r="U51" s="1036"/>
      <c r="V51" s="1037"/>
      <c r="W51" s="1037"/>
      <c r="X51" s="243"/>
      <c r="Y51" s="243"/>
      <c r="Z51" s="243"/>
      <c r="AA51" s="243"/>
      <c r="AB51" s="243"/>
      <c r="AC51" s="243"/>
      <c r="AD51" s="243"/>
      <c r="AE51" s="243"/>
      <c r="AF51" s="243"/>
      <c r="AG51" s="243"/>
      <c r="AH51" s="243"/>
      <c r="AI51" s="243"/>
      <c r="AJ51" s="243"/>
      <c r="AK51" s="243"/>
      <c r="AL51" s="1038"/>
    </row>
    <row r="52" spans="1:38" ht="20.399999999999999" customHeight="1" x14ac:dyDescent="0.3">
      <c r="A52" s="83"/>
      <c r="B52" s="105"/>
      <c r="C52" s="283"/>
      <c r="D52" s="284"/>
      <c r="E52" s="283"/>
      <c r="F52" s="282"/>
      <c r="G52" s="105"/>
      <c r="H52" s="83"/>
      <c r="I52" s="83"/>
      <c r="J52" s="83"/>
      <c r="K52" s="83"/>
      <c r="L52" s="83"/>
      <c r="M52" s="83"/>
      <c r="N52" s="83"/>
      <c r="O52" s="83"/>
      <c r="P52" s="1034"/>
      <c r="Q52" s="1034"/>
      <c r="R52" s="1034"/>
      <c r="S52" s="1034"/>
      <c r="T52" s="1037"/>
      <c r="U52" s="1037"/>
      <c r="V52" s="1037"/>
      <c r="W52" s="1037"/>
      <c r="X52" s="243"/>
      <c r="Y52" s="243"/>
      <c r="Z52" s="243"/>
      <c r="AA52" s="243"/>
      <c r="AB52" s="243"/>
      <c r="AC52" s="243"/>
      <c r="AD52" s="243"/>
      <c r="AE52" s="243"/>
      <c r="AF52" s="243"/>
      <c r="AG52" s="243"/>
      <c r="AH52" s="243"/>
      <c r="AI52" s="243"/>
      <c r="AJ52" s="243"/>
      <c r="AK52" s="243"/>
      <c r="AL52" s="1038"/>
    </row>
    <row r="53" spans="1:38" ht="20.399999999999999" customHeight="1" x14ac:dyDescent="0.3">
      <c r="A53" s="83"/>
      <c r="B53" s="105"/>
      <c r="C53" s="283"/>
      <c r="D53" s="283"/>
      <c r="E53" s="283"/>
      <c r="F53" s="105"/>
      <c r="G53" s="282"/>
      <c r="H53" s="83"/>
      <c r="I53" s="83"/>
      <c r="J53" s="83"/>
      <c r="K53" s="83"/>
      <c r="L53" s="83"/>
      <c r="M53" s="83"/>
      <c r="N53" s="83"/>
      <c r="O53" s="83"/>
      <c r="P53" s="1034"/>
      <c r="Q53" s="1034"/>
      <c r="R53" s="1034"/>
      <c r="S53" s="1034"/>
      <c r="T53" s="1037"/>
      <c r="U53" s="1037"/>
      <c r="V53" s="1037"/>
      <c r="W53" s="1037"/>
      <c r="X53" s="243"/>
      <c r="Y53" s="243"/>
      <c r="Z53" s="243"/>
      <c r="AA53" s="243"/>
      <c r="AB53" s="243"/>
      <c r="AC53" s="243"/>
      <c r="AD53" s="243"/>
      <c r="AE53" s="243"/>
      <c r="AF53" s="243"/>
      <c r="AG53" s="243"/>
      <c r="AH53" s="243"/>
      <c r="AI53" s="243"/>
      <c r="AJ53" s="243"/>
      <c r="AK53" s="243"/>
      <c r="AL53" s="1038"/>
    </row>
    <row r="54" spans="1:38" ht="20.399999999999999" customHeight="1" x14ac:dyDescent="0.3">
      <c r="A54" s="83"/>
      <c r="B54" s="105"/>
      <c r="C54" s="283"/>
      <c r="D54" s="283"/>
      <c r="E54" s="283"/>
      <c r="F54" s="283"/>
      <c r="G54" s="105"/>
      <c r="H54" s="83"/>
      <c r="I54" s="83"/>
      <c r="J54" s="83"/>
      <c r="K54" s="83"/>
      <c r="L54" s="83"/>
      <c r="M54" s="83"/>
      <c r="N54" s="83"/>
      <c r="O54" s="83"/>
      <c r="P54" s="1034"/>
      <c r="Q54" s="1034"/>
      <c r="R54" s="1034"/>
      <c r="S54" s="1034"/>
      <c r="T54" s="1037"/>
      <c r="U54" s="1037"/>
      <c r="V54" s="1037"/>
      <c r="W54" s="1037"/>
      <c r="X54" s="243"/>
      <c r="Y54" s="243"/>
      <c r="Z54" s="243"/>
      <c r="AA54" s="243"/>
      <c r="AB54" s="243"/>
      <c r="AC54" s="243"/>
      <c r="AD54" s="243"/>
      <c r="AE54" s="243"/>
      <c r="AF54" s="243"/>
      <c r="AG54" s="243"/>
      <c r="AH54" s="243"/>
      <c r="AI54" s="243"/>
      <c r="AJ54" s="243"/>
      <c r="AK54" s="243"/>
      <c r="AL54" s="1038"/>
    </row>
    <row r="55" spans="1:38" ht="20.399999999999999" customHeight="1" x14ac:dyDescent="0.3">
      <c r="A55" s="83"/>
      <c r="B55" s="105"/>
      <c r="C55" s="283"/>
      <c r="D55" s="283"/>
      <c r="E55" s="283"/>
      <c r="F55" s="283"/>
      <c r="G55" s="105"/>
      <c r="H55" s="83"/>
      <c r="I55" s="83"/>
      <c r="J55" s="83"/>
      <c r="K55" s="83"/>
      <c r="L55" s="83"/>
      <c r="M55" s="83"/>
      <c r="N55" s="83"/>
      <c r="O55" s="83"/>
      <c r="P55" s="243"/>
      <c r="Q55" s="243"/>
      <c r="R55" s="243"/>
      <c r="S55" s="243"/>
      <c r="T55" s="1037"/>
      <c r="U55" s="1037"/>
      <c r="V55" s="1037"/>
      <c r="W55" s="1037"/>
      <c r="X55" s="243"/>
      <c r="Y55" s="243"/>
      <c r="Z55" s="243"/>
      <c r="AA55" s="243"/>
      <c r="AB55" s="243"/>
      <c r="AC55" s="243"/>
      <c r="AD55" s="243"/>
      <c r="AE55" s="243"/>
      <c r="AF55" s="243"/>
      <c r="AG55" s="243"/>
      <c r="AH55" s="243"/>
      <c r="AI55" s="243"/>
      <c r="AJ55" s="243"/>
      <c r="AK55" s="243"/>
      <c r="AL55" s="1038"/>
    </row>
    <row r="56" spans="1:38" ht="20.399999999999999" customHeight="1" x14ac:dyDescent="0.3">
      <c r="A56" s="83"/>
      <c r="B56" s="105"/>
      <c r="C56" s="283"/>
      <c r="D56" s="283"/>
      <c r="E56" s="283"/>
      <c r="F56" s="283"/>
      <c r="G56" s="105"/>
      <c r="H56" s="83"/>
      <c r="I56" s="83"/>
      <c r="J56" s="83"/>
      <c r="K56" s="83"/>
      <c r="L56" s="83"/>
      <c r="M56" s="83"/>
      <c r="N56" s="83"/>
      <c r="O56" s="83"/>
      <c r="P56" s="243"/>
      <c r="Q56" s="243"/>
      <c r="R56" s="243"/>
      <c r="S56" s="243"/>
      <c r="T56" s="1037"/>
      <c r="U56" s="1037"/>
      <c r="V56" s="1037"/>
      <c r="W56" s="1037"/>
      <c r="X56" s="243"/>
      <c r="Y56" s="243"/>
      <c r="Z56" s="243"/>
      <c r="AA56" s="243"/>
      <c r="AB56" s="243"/>
      <c r="AC56" s="243"/>
      <c r="AD56" s="243"/>
      <c r="AE56" s="243"/>
      <c r="AF56" s="243"/>
      <c r="AG56" s="243"/>
      <c r="AH56" s="243"/>
      <c r="AI56" s="243"/>
      <c r="AJ56" s="243"/>
      <c r="AK56" s="243"/>
      <c r="AL56" s="1038"/>
    </row>
    <row r="57" spans="1:38" ht="20.399999999999999" customHeight="1" x14ac:dyDescent="0.3">
      <c r="A57" s="83"/>
      <c r="B57" s="105"/>
      <c r="C57" s="281"/>
      <c r="D57" s="281"/>
      <c r="E57" s="281"/>
      <c r="F57" s="105"/>
      <c r="G57" s="105"/>
      <c r="H57" s="83"/>
      <c r="I57" s="83"/>
      <c r="J57" s="83"/>
      <c r="K57" s="83"/>
      <c r="L57" s="83"/>
      <c r="M57" s="83"/>
      <c r="N57" s="83"/>
      <c r="O57" s="83"/>
      <c r="P57" s="243"/>
      <c r="Q57" s="1038"/>
      <c r="R57" s="1038"/>
      <c r="S57" s="243"/>
      <c r="T57" s="1037"/>
      <c r="U57" s="1037"/>
      <c r="V57" s="1037"/>
      <c r="W57" s="1037"/>
      <c r="X57" s="243"/>
      <c r="Y57" s="243"/>
      <c r="Z57" s="243"/>
      <c r="AA57" s="243"/>
      <c r="AB57" s="243"/>
      <c r="AC57" s="243"/>
      <c r="AD57" s="243"/>
      <c r="AE57" s="243"/>
      <c r="AF57" s="243"/>
      <c r="AG57" s="243"/>
      <c r="AH57" s="243"/>
      <c r="AI57" s="243"/>
      <c r="AJ57" s="243"/>
      <c r="AK57" s="243"/>
      <c r="AL57" s="1038"/>
    </row>
    <row r="58" spans="1:38" ht="20.399999999999999" customHeight="1" x14ac:dyDescent="0.3">
      <c r="A58" s="83"/>
      <c r="B58" s="105"/>
      <c r="C58" s="283"/>
      <c r="D58" s="283"/>
      <c r="E58" s="283"/>
      <c r="F58" s="105"/>
      <c r="G58" s="105"/>
      <c r="H58" s="83"/>
      <c r="I58" s="83"/>
      <c r="J58" s="83"/>
      <c r="K58" s="83"/>
      <c r="L58" s="83"/>
      <c r="M58" s="83"/>
      <c r="N58" s="83"/>
      <c r="O58" s="83"/>
      <c r="P58" s="243"/>
      <c r="Q58" s="1038"/>
      <c r="R58" s="1038"/>
      <c r="S58" s="243"/>
      <c r="T58" s="1037"/>
      <c r="U58" s="1037"/>
      <c r="V58" s="1037"/>
      <c r="W58" s="1037"/>
      <c r="X58" s="243"/>
      <c r="Y58" s="243"/>
      <c r="Z58" s="243"/>
      <c r="AA58" s="243"/>
      <c r="AB58" s="243"/>
      <c r="AC58" s="243"/>
      <c r="AD58" s="243"/>
      <c r="AE58" s="243"/>
      <c r="AF58" s="243"/>
      <c r="AG58" s="243"/>
      <c r="AH58" s="243"/>
      <c r="AI58" s="243"/>
      <c r="AJ58" s="243"/>
      <c r="AK58" s="243"/>
      <c r="AL58" s="1038"/>
    </row>
    <row r="59" spans="1:38" ht="20.399999999999999" customHeight="1" x14ac:dyDescent="0.3">
      <c r="A59" s="83"/>
      <c r="B59" s="105"/>
      <c r="C59" s="283"/>
      <c r="D59" s="283"/>
      <c r="E59" s="283"/>
      <c r="F59" s="105"/>
      <c r="G59" s="105"/>
      <c r="H59" s="83"/>
      <c r="I59" s="83"/>
      <c r="J59" s="83"/>
      <c r="K59" s="83"/>
      <c r="L59" s="83"/>
      <c r="M59" s="83"/>
      <c r="N59" s="83"/>
      <c r="O59" s="83"/>
      <c r="P59" s="243"/>
      <c r="Q59" s="1038"/>
      <c r="R59" s="1038"/>
      <c r="S59" s="243"/>
      <c r="T59" s="1037"/>
      <c r="U59" s="1037"/>
      <c r="V59" s="1037"/>
      <c r="W59" s="1037"/>
      <c r="X59" s="243"/>
      <c r="Y59" s="243"/>
      <c r="Z59" s="243"/>
      <c r="AA59" s="243"/>
      <c r="AB59" s="243"/>
      <c r="AC59" s="243"/>
      <c r="AD59" s="243"/>
      <c r="AE59" s="243"/>
      <c r="AF59" s="243"/>
      <c r="AG59" s="243"/>
      <c r="AH59" s="243"/>
      <c r="AI59" s="243"/>
      <c r="AJ59" s="243"/>
      <c r="AK59" s="243"/>
      <c r="AL59" s="1038"/>
    </row>
    <row r="60" spans="1:38" ht="20.399999999999999" customHeight="1" x14ac:dyDescent="0.3">
      <c r="A60" s="83"/>
      <c r="B60" s="105"/>
      <c r="C60" s="283"/>
      <c r="D60" s="283"/>
      <c r="E60" s="283"/>
      <c r="F60" s="105"/>
      <c r="G60" s="105"/>
      <c r="H60" s="83"/>
      <c r="I60" s="83"/>
      <c r="J60" s="83"/>
      <c r="K60" s="83"/>
      <c r="L60" s="83"/>
      <c r="M60" s="83"/>
      <c r="N60" s="83"/>
      <c r="O60" s="83"/>
      <c r="P60" s="243"/>
      <c r="Q60" s="1038"/>
      <c r="R60" s="1038"/>
      <c r="S60" s="243"/>
      <c r="T60" s="1037"/>
      <c r="U60" s="1037"/>
      <c r="V60" s="1037"/>
      <c r="W60" s="1037"/>
      <c r="X60" s="243"/>
      <c r="Y60" s="243"/>
      <c r="Z60" s="243"/>
      <c r="AA60" s="243"/>
      <c r="AB60" s="243"/>
      <c r="AC60" s="243"/>
      <c r="AD60" s="243"/>
      <c r="AE60" s="243"/>
      <c r="AF60" s="243"/>
      <c r="AG60" s="243"/>
      <c r="AH60" s="243"/>
      <c r="AI60" s="243"/>
      <c r="AJ60" s="243"/>
      <c r="AK60" s="243"/>
      <c r="AL60" s="1038"/>
    </row>
    <row r="61" spans="1:38" ht="20.399999999999999" customHeight="1" x14ac:dyDescent="0.3">
      <c r="A61" s="83"/>
      <c r="B61" s="105"/>
      <c r="C61" s="281"/>
      <c r="D61" s="281"/>
      <c r="E61" s="281"/>
      <c r="F61" s="105"/>
      <c r="G61" s="105"/>
      <c r="H61" s="83"/>
      <c r="I61" s="83"/>
      <c r="J61" s="83"/>
      <c r="K61" s="83"/>
      <c r="L61" s="83"/>
      <c r="M61" s="83"/>
      <c r="N61" s="83"/>
      <c r="O61" s="83"/>
      <c r="P61" s="243"/>
      <c r="Q61" s="1038"/>
      <c r="R61" s="1038"/>
      <c r="S61" s="243"/>
      <c r="T61" s="1037"/>
      <c r="U61" s="1037"/>
      <c r="V61" s="1037"/>
      <c r="W61" s="1037"/>
      <c r="X61" s="243"/>
      <c r="Y61" s="243"/>
      <c r="Z61" s="243"/>
      <c r="AA61" s="243"/>
      <c r="AB61" s="243"/>
      <c r="AC61" s="243"/>
      <c r="AD61" s="243"/>
      <c r="AE61" s="243"/>
      <c r="AF61" s="243"/>
      <c r="AG61" s="243"/>
      <c r="AH61" s="243"/>
      <c r="AI61" s="243"/>
      <c r="AJ61" s="243"/>
      <c r="AK61" s="243"/>
      <c r="AL61" s="1038"/>
    </row>
    <row r="62" spans="1:38" ht="20.399999999999999" customHeight="1" x14ac:dyDescent="0.3">
      <c r="A62" s="83"/>
      <c r="B62" s="105"/>
      <c r="C62" s="283"/>
      <c r="D62" s="283"/>
      <c r="E62" s="283"/>
      <c r="F62" s="105"/>
      <c r="G62" s="105"/>
      <c r="H62" s="83"/>
      <c r="I62" s="83"/>
      <c r="J62" s="83"/>
      <c r="K62" s="83"/>
      <c r="L62" s="83"/>
      <c r="M62" s="83"/>
      <c r="N62" s="83"/>
      <c r="O62" s="83"/>
      <c r="P62" s="243"/>
      <c r="Q62" s="1038"/>
      <c r="R62" s="1038"/>
      <c r="S62" s="243"/>
      <c r="T62" s="1037"/>
      <c r="U62" s="1037"/>
      <c r="V62" s="1037"/>
      <c r="W62" s="1037"/>
      <c r="X62" s="243"/>
      <c r="Y62" s="243"/>
      <c r="Z62" s="243"/>
      <c r="AA62" s="243"/>
      <c r="AB62" s="243"/>
      <c r="AC62" s="243"/>
      <c r="AD62" s="243"/>
      <c r="AE62" s="243"/>
      <c r="AF62" s="243"/>
      <c r="AG62" s="243"/>
      <c r="AH62" s="243"/>
      <c r="AI62" s="243"/>
      <c r="AJ62" s="243"/>
      <c r="AK62" s="243"/>
      <c r="AL62" s="1038"/>
    </row>
    <row r="63" spans="1:38" ht="20.399999999999999" customHeight="1" x14ac:dyDescent="0.3">
      <c r="A63" s="83"/>
      <c r="B63" s="105"/>
      <c r="C63" s="105"/>
      <c r="D63" s="105"/>
      <c r="E63" s="105"/>
      <c r="F63" s="105"/>
      <c r="G63" s="105"/>
      <c r="H63" s="83"/>
      <c r="I63" s="83"/>
      <c r="J63" s="83"/>
      <c r="K63" s="83"/>
      <c r="L63" s="83"/>
      <c r="M63" s="83"/>
      <c r="N63" s="83"/>
      <c r="O63" s="83"/>
      <c r="P63" s="243"/>
      <c r="Q63" s="1038"/>
      <c r="R63" s="1038"/>
      <c r="S63" s="243"/>
      <c r="T63" s="1037"/>
      <c r="U63" s="1037"/>
      <c r="V63" s="1037"/>
      <c r="W63" s="1037"/>
      <c r="X63" s="243"/>
      <c r="Y63" s="243"/>
      <c r="Z63" s="243"/>
      <c r="AA63" s="243"/>
      <c r="AB63" s="243"/>
      <c r="AC63" s="243"/>
      <c r="AD63" s="243"/>
      <c r="AE63" s="243"/>
      <c r="AF63" s="243"/>
      <c r="AG63" s="243"/>
      <c r="AH63" s="243"/>
      <c r="AI63" s="243"/>
      <c r="AJ63" s="243"/>
      <c r="AK63" s="243"/>
      <c r="AL63" s="1038"/>
    </row>
    <row r="64" spans="1:38" ht="20.399999999999999" customHeight="1" x14ac:dyDescent="0.3">
      <c r="A64" s="83"/>
      <c r="B64" s="105"/>
      <c r="C64" s="105"/>
      <c r="D64" s="105"/>
      <c r="E64" s="105"/>
      <c r="F64" s="105"/>
      <c r="G64" s="105"/>
      <c r="H64" s="83"/>
      <c r="I64" s="83"/>
      <c r="J64" s="83"/>
      <c r="K64" s="83"/>
      <c r="L64" s="83"/>
      <c r="M64" s="83"/>
      <c r="N64" s="83"/>
      <c r="O64" s="83"/>
      <c r="P64" s="243"/>
      <c r="Q64" s="1038"/>
      <c r="R64" s="1038"/>
      <c r="S64" s="243"/>
      <c r="T64" s="1037"/>
      <c r="U64" s="1037"/>
      <c r="V64" s="1037"/>
      <c r="W64" s="1037"/>
      <c r="X64" s="243"/>
      <c r="Y64" s="243"/>
      <c r="Z64" s="243"/>
      <c r="AA64" s="243"/>
      <c r="AB64" s="243"/>
      <c r="AC64" s="243"/>
      <c r="AD64" s="243"/>
      <c r="AE64" s="243"/>
      <c r="AF64" s="243"/>
      <c r="AG64" s="243"/>
      <c r="AH64" s="243"/>
      <c r="AI64" s="243"/>
      <c r="AJ64" s="243"/>
      <c r="AK64" s="243"/>
      <c r="AL64" s="1038"/>
    </row>
    <row r="65" spans="1:38" ht="20.399999999999999" customHeight="1" x14ac:dyDescent="0.3">
      <c r="A65" s="83"/>
      <c r="B65" s="83"/>
      <c r="C65" s="83"/>
      <c r="D65" s="83"/>
      <c r="E65" s="83"/>
      <c r="F65" s="83"/>
      <c r="G65" s="83"/>
      <c r="H65" s="83"/>
      <c r="I65" s="83"/>
      <c r="J65" s="83"/>
      <c r="K65" s="83"/>
      <c r="L65" s="83"/>
      <c r="M65" s="83"/>
      <c r="N65" s="83"/>
      <c r="O65" s="83"/>
      <c r="P65" s="243"/>
      <c r="Q65" s="1038"/>
      <c r="R65" s="1038"/>
      <c r="S65" s="243"/>
      <c r="T65" s="1037"/>
      <c r="U65" s="1037"/>
      <c r="V65" s="1037"/>
      <c r="W65" s="1037"/>
      <c r="X65" s="243"/>
      <c r="Y65" s="243"/>
      <c r="Z65" s="243"/>
      <c r="AA65" s="243"/>
      <c r="AB65" s="243"/>
      <c r="AC65" s="243"/>
      <c r="AD65" s="243"/>
      <c r="AE65" s="243"/>
      <c r="AF65" s="243"/>
      <c r="AG65" s="243"/>
      <c r="AH65" s="243"/>
      <c r="AI65" s="243"/>
      <c r="AJ65" s="243"/>
      <c r="AK65" s="243"/>
      <c r="AL65" s="1038"/>
    </row>
    <row r="66" spans="1:38" ht="20.399999999999999" customHeight="1" x14ac:dyDescent="0.3">
      <c r="A66" s="83"/>
      <c r="B66" s="83"/>
      <c r="C66" s="83"/>
      <c r="D66" s="83"/>
      <c r="E66" s="83"/>
      <c r="F66" s="83"/>
      <c r="G66" s="83"/>
      <c r="H66" s="83"/>
      <c r="I66" s="83"/>
      <c r="J66" s="83"/>
      <c r="K66" s="83"/>
      <c r="L66" s="83"/>
      <c r="M66" s="83"/>
      <c r="N66" s="83"/>
      <c r="O66" s="83"/>
      <c r="P66" s="243"/>
      <c r="Q66" s="1038"/>
      <c r="R66" s="1038"/>
      <c r="S66" s="243"/>
      <c r="T66" s="1037"/>
      <c r="U66" s="1037"/>
      <c r="V66" s="1037"/>
      <c r="W66" s="1037"/>
      <c r="X66" s="243"/>
      <c r="Y66" s="243"/>
      <c r="Z66" s="243"/>
      <c r="AA66" s="243"/>
      <c r="AB66" s="243"/>
      <c r="AC66" s="243"/>
      <c r="AD66" s="243"/>
      <c r="AE66" s="243"/>
      <c r="AF66" s="243"/>
      <c r="AG66" s="243"/>
      <c r="AH66" s="243"/>
      <c r="AI66" s="243"/>
      <c r="AJ66" s="243"/>
      <c r="AK66" s="243"/>
      <c r="AL66" s="1038"/>
    </row>
    <row r="67" spans="1:38" ht="20.399999999999999" customHeight="1" x14ac:dyDescent="0.3">
      <c r="A67" s="83"/>
      <c r="B67" s="83"/>
      <c r="C67" s="83"/>
      <c r="D67" s="83"/>
      <c r="E67" s="83"/>
      <c r="F67" s="83"/>
      <c r="G67" s="83"/>
      <c r="H67" s="83"/>
      <c r="I67" s="83"/>
      <c r="J67" s="83"/>
      <c r="K67" s="83"/>
      <c r="L67" s="83"/>
      <c r="M67" s="83"/>
      <c r="N67" s="83"/>
      <c r="O67" s="83"/>
      <c r="P67" s="243"/>
      <c r="Q67" s="1038"/>
      <c r="R67" s="1038"/>
      <c r="S67" s="243"/>
      <c r="T67" s="1037"/>
      <c r="U67" s="1037"/>
      <c r="V67" s="1037"/>
      <c r="W67" s="1037"/>
      <c r="X67" s="243"/>
      <c r="Y67" s="243"/>
      <c r="Z67" s="243"/>
      <c r="AA67" s="243"/>
      <c r="AB67" s="243"/>
      <c r="AC67" s="243"/>
      <c r="AD67" s="243"/>
      <c r="AE67" s="243"/>
      <c r="AF67" s="243"/>
      <c r="AG67" s="243"/>
      <c r="AH67" s="243"/>
      <c r="AI67" s="243"/>
      <c r="AJ67" s="243"/>
      <c r="AK67" s="243"/>
      <c r="AL67" s="1038"/>
    </row>
    <row r="68" spans="1:38" ht="20.399999999999999" customHeight="1" x14ac:dyDescent="0.3">
      <c r="A68" s="83"/>
      <c r="B68" s="83"/>
      <c r="C68" s="83"/>
      <c r="D68" s="83"/>
      <c r="E68" s="83"/>
      <c r="F68" s="83"/>
      <c r="G68" s="83"/>
      <c r="H68" s="83"/>
      <c r="I68" s="83"/>
      <c r="J68" s="83"/>
      <c r="K68" s="83"/>
      <c r="L68" s="83"/>
      <c r="M68" s="83"/>
      <c r="N68" s="83"/>
      <c r="O68" s="83"/>
      <c r="P68" s="243"/>
      <c r="Q68" s="1038"/>
      <c r="R68" s="1038"/>
      <c r="S68" s="243"/>
      <c r="T68" s="1037"/>
      <c r="U68" s="1037"/>
      <c r="V68" s="1037"/>
      <c r="W68" s="1037"/>
      <c r="X68" s="243"/>
      <c r="Y68" s="243"/>
      <c r="Z68" s="243"/>
      <c r="AA68" s="243"/>
      <c r="AB68" s="243"/>
      <c r="AC68" s="243"/>
      <c r="AD68" s="243"/>
      <c r="AE68" s="243"/>
      <c r="AF68" s="243"/>
      <c r="AG68" s="243"/>
      <c r="AH68" s="243"/>
      <c r="AI68" s="243"/>
      <c r="AJ68" s="243"/>
      <c r="AK68" s="243"/>
      <c r="AL68" s="1038"/>
    </row>
    <row r="69" spans="1:38" ht="20.399999999999999" customHeight="1" x14ac:dyDescent="0.3">
      <c r="A69" s="83"/>
      <c r="B69" s="83"/>
      <c r="C69" s="83"/>
      <c r="D69" s="83"/>
      <c r="E69" s="83"/>
      <c r="F69" s="83"/>
      <c r="G69" s="83"/>
      <c r="H69" s="83"/>
      <c r="I69" s="83"/>
      <c r="J69" s="83"/>
      <c r="K69" s="83"/>
      <c r="L69" s="83"/>
      <c r="M69" s="83"/>
      <c r="N69" s="83"/>
      <c r="O69" s="83"/>
      <c r="P69" s="243"/>
      <c r="Q69" s="1038"/>
      <c r="R69" s="1038"/>
      <c r="S69" s="243"/>
      <c r="T69" s="1037"/>
      <c r="U69" s="1037"/>
      <c r="V69" s="1037"/>
      <c r="W69" s="1037"/>
      <c r="X69" s="243"/>
      <c r="Y69" s="243"/>
      <c r="Z69" s="243"/>
      <c r="AA69" s="243"/>
      <c r="AB69" s="243"/>
      <c r="AC69" s="243"/>
      <c r="AD69" s="243"/>
      <c r="AE69" s="243"/>
      <c r="AF69" s="243"/>
      <c r="AG69" s="243"/>
      <c r="AH69" s="243"/>
      <c r="AI69" s="243"/>
      <c r="AJ69" s="243"/>
      <c r="AK69" s="243"/>
      <c r="AL69" s="1038"/>
    </row>
    <row r="70" spans="1:38" ht="20.399999999999999" customHeight="1" x14ac:dyDescent="0.3">
      <c r="A70" s="83"/>
      <c r="B70" s="83"/>
      <c r="C70" s="83"/>
      <c r="D70" s="83"/>
      <c r="E70" s="83"/>
      <c r="F70" s="83"/>
      <c r="G70" s="83"/>
      <c r="H70" s="83"/>
      <c r="I70" s="83"/>
      <c r="J70" s="83"/>
      <c r="K70" s="83"/>
      <c r="L70" s="83"/>
      <c r="M70" s="83"/>
      <c r="N70" s="83"/>
      <c r="O70" s="83"/>
      <c r="P70" s="243"/>
      <c r="Q70" s="1038"/>
      <c r="R70" s="1038"/>
      <c r="S70" s="243"/>
      <c r="T70" s="1037"/>
      <c r="U70" s="1037"/>
      <c r="V70" s="1037"/>
      <c r="W70" s="1037"/>
      <c r="X70" s="243"/>
      <c r="Y70" s="243"/>
      <c r="Z70" s="243"/>
      <c r="AA70" s="243"/>
      <c r="AB70" s="243"/>
      <c r="AC70" s="243"/>
      <c r="AD70" s="243"/>
      <c r="AE70" s="243"/>
      <c r="AF70" s="243"/>
      <c r="AG70" s="243"/>
      <c r="AH70" s="243"/>
      <c r="AI70" s="243"/>
      <c r="AJ70" s="243"/>
      <c r="AK70" s="243"/>
      <c r="AL70" s="1038"/>
    </row>
    <row r="71" spans="1:38" ht="20.399999999999999" customHeight="1" x14ac:dyDescent="0.3">
      <c r="A71" s="83"/>
      <c r="B71" s="83"/>
      <c r="C71" s="83"/>
      <c r="D71" s="83"/>
      <c r="E71" s="83"/>
      <c r="F71" s="83"/>
      <c r="G71" s="83"/>
      <c r="H71" s="83"/>
      <c r="I71" s="83"/>
      <c r="J71" s="83"/>
      <c r="K71" s="83"/>
      <c r="L71" s="83"/>
      <c r="M71" s="83"/>
      <c r="N71" s="83"/>
      <c r="O71" s="83"/>
      <c r="P71" s="243"/>
      <c r="Q71" s="1038"/>
      <c r="R71" s="1038"/>
      <c r="S71" s="243"/>
      <c r="T71" s="1037"/>
      <c r="U71" s="1037"/>
      <c r="V71" s="1037"/>
      <c r="W71" s="1037"/>
      <c r="X71" s="243"/>
      <c r="Y71" s="243"/>
      <c r="Z71" s="243"/>
      <c r="AA71" s="243"/>
      <c r="AB71" s="243"/>
      <c r="AC71" s="243"/>
      <c r="AD71" s="243"/>
      <c r="AE71" s="243"/>
      <c r="AF71" s="243"/>
      <c r="AG71" s="243"/>
      <c r="AH71" s="243"/>
      <c r="AI71" s="243"/>
      <c r="AJ71" s="243"/>
      <c r="AK71" s="243"/>
      <c r="AL71" s="1038"/>
    </row>
    <row r="72" spans="1:38" ht="20.399999999999999" customHeight="1" x14ac:dyDescent="0.3">
      <c r="A72" s="83"/>
      <c r="B72" s="83"/>
      <c r="C72" s="83"/>
      <c r="D72" s="83"/>
      <c r="E72" s="83"/>
      <c r="F72" s="83"/>
      <c r="G72" s="83"/>
      <c r="H72" s="83"/>
      <c r="I72" s="83"/>
      <c r="J72" s="83"/>
      <c r="K72" s="83"/>
      <c r="L72" s="83"/>
      <c r="M72" s="83"/>
      <c r="N72" s="83"/>
      <c r="O72" s="83"/>
      <c r="P72" s="243"/>
      <c r="Q72" s="1038"/>
      <c r="R72" s="1038"/>
      <c r="S72" s="243"/>
      <c r="T72" s="1037"/>
      <c r="U72" s="1037"/>
      <c r="V72" s="1037"/>
      <c r="W72" s="1037"/>
      <c r="X72" s="243"/>
      <c r="Y72" s="243"/>
      <c r="Z72" s="243"/>
      <c r="AA72" s="243"/>
      <c r="AB72" s="243"/>
      <c r="AC72" s="243"/>
      <c r="AD72" s="243"/>
      <c r="AE72" s="243"/>
      <c r="AF72" s="243"/>
      <c r="AG72" s="243"/>
      <c r="AH72" s="243"/>
      <c r="AI72" s="243"/>
      <c r="AJ72" s="243"/>
      <c r="AK72" s="243"/>
      <c r="AL72" s="1038"/>
    </row>
    <row r="73" spans="1:38" ht="20.399999999999999" customHeight="1" x14ac:dyDescent="0.3">
      <c r="A73" s="83"/>
      <c r="B73" s="83"/>
      <c r="C73" s="83"/>
      <c r="D73" s="83"/>
      <c r="E73" s="83"/>
      <c r="F73" s="83"/>
      <c r="G73" s="83"/>
      <c r="H73" s="83"/>
      <c r="I73" s="83"/>
      <c r="J73" s="83"/>
      <c r="K73" s="83"/>
      <c r="L73" s="83"/>
      <c r="M73" s="83"/>
      <c r="N73" s="83"/>
      <c r="O73" s="83"/>
      <c r="P73" s="243"/>
      <c r="Q73" s="1038"/>
      <c r="R73" s="1038"/>
      <c r="S73" s="243"/>
      <c r="T73" s="1037"/>
      <c r="U73" s="1037"/>
      <c r="V73" s="1037"/>
      <c r="W73" s="1037"/>
      <c r="X73" s="243"/>
      <c r="Y73" s="243"/>
      <c r="Z73" s="243"/>
      <c r="AA73" s="243"/>
      <c r="AB73" s="243"/>
      <c r="AC73" s="243"/>
      <c r="AD73" s="243"/>
      <c r="AE73" s="243"/>
      <c r="AF73" s="243"/>
      <c r="AG73" s="243"/>
      <c r="AH73" s="243"/>
      <c r="AI73" s="243"/>
      <c r="AJ73" s="243"/>
      <c r="AK73" s="243"/>
      <c r="AL73" s="1038"/>
    </row>
    <row r="74" spans="1:38" ht="20.399999999999999" customHeight="1" x14ac:dyDescent="0.3">
      <c r="A74" s="83"/>
      <c r="B74" s="83"/>
      <c r="C74" s="83"/>
      <c r="D74" s="83"/>
      <c r="E74" s="83"/>
      <c r="F74" s="83"/>
      <c r="G74" s="83"/>
      <c r="H74" s="83"/>
      <c r="I74" s="83"/>
      <c r="J74" s="83"/>
      <c r="K74" s="83"/>
      <c r="L74" s="83"/>
      <c r="M74" s="83"/>
      <c r="N74" s="83"/>
      <c r="O74" s="83"/>
      <c r="P74" s="243"/>
      <c r="Q74" s="1038"/>
      <c r="R74" s="1038"/>
      <c r="S74" s="243"/>
      <c r="T74" s="1037"/>
      <c r="U74" s="1037"/>
      <c r="V74" s="1037"/>
      <c r="W74" s="1037"/>
      <c r="X74" s="243"/>
      <c r="Y74" s="243"/>
      <c r="Z74" s="243"/>
      <c r="AA74" s="243"/>
      <c r="AB74" s="243"/>
      <c r="AC74" s="243"/>
      <c r="AD74" s="243"/>
      <c r="AE74" s="243"/>
      <c r="AF74" s="243"/>
      <c r="AG74" s="243"/>
      <c r="AH74" s="243"/>
      <c r="AI74" s="243"/>
      <c r="AJ74" s="243"/>
      <c r="AK74" s="243"/>
      <c r="AL74" s="1038"/>
    </row>
    <row r="75" spans="1:38" ht="20.399999999999999" customHeight="1" x14ac:dyDescent="0.3">
      <c r="A75" s="83"/>
      <c r="B75" s="83"/>
      <c r="C75" s="83"/>
      <c r="D75" s="83"/>
      <c r="E75" s="83"/>
      <c r="F75" s="83"/>
      <c r="G75" s="83"/>
      <c r="H75" s="83"/>
      <c r="I75" s="83"/>
      <c r="J75" s="83"/>
      <c r="K75" s="83"/>
      <c r="L75" s="83"/>
      <c r="M75" s="83"/>
      <c r="N75" s="83"/>
      <c r="O75" s="83"/>
      <c r="P75" s="243"/>
      <c r="Q75" s="1038"/>
      <c r="R75" s="1038"/>
      <c r="S75" s="243"/>
      <c r="T75" s="1037"/>
      <c r="U75" s="1037"/>
      <c r="V75" s="1037"/>
      <c r="W75" s="1037"/>
      <c r="X75" s="243"/>
      <c r="Y75" s="243"/>
      <c r="Z75" s="243"/>
      <c r="AA75" s="243"/>
      <c r="AB75" s="243"/>
      <c r="AC75" s="243"/>
      <c r="AD75" s="243"/>
      <c r="AE75" s="243"/>
      <c r="AF75" s="243"/>
      <c r="AG75" s="243"/>
      <c r="AH75" s="243"/>
      <c r="AI75" s="243"/>
      <c r="AJ75" s="243"/>
      <c r="AK75" s="243"/>
      <c r="AL75" s="1038"/>
    </row>
    <row r="76" spans="1:38" ht="20.399999999999999" customHeight="1" x14ac:dyDescent="0.3">
      <c r="A76" s="83"/>
      <c r="B76" s="83"/>
      <c r="C76" s="83"/>
      <c r="D76" s="83"/>
      <c r="E76" s="83"/>
      <c r="F76" s="83"/>
      <c r="G76" s="83"/>
      <c r="H76" s="83"/>
      <c r="I76" s="83"/>
      <c r="J76" s="83"/>
      <c r="K76" s="83"/>
      <c r="L76" s="83"/>
      <c r="M76" s="83"/>
      <c r="N76" s="83"/>
      <c r="O76" s="83"/>
      <c r="P76" s="243"/>
      <c r="Q76" s="1038"/>
      <c r="R76" s="1038"/>
      <c r="S76" s="243"/>
      <c r="T76" s="1037"/>
      <c r="U76" s="1037"/>
      <c r="V76" s="1037"/>
      <c r="W76" s="1037"/>
      <c r="X76" s="243"/>
      <c r="Y76" s="243"/>
      <c r="Z76" s="243"/>
      <c r="AA76" s="243"/>
      <c r="AB76" s="243"/>
      <c r="AC76" s="243"/>
      <c r="AD76" s="243"/>
      <c r="AE76" s="243"/>
      <c r="AF76" s="243"/>
      <c r="AG76" s="243"/>
      <c r="AH76" s="243"/>
      <c r="AI76" s="243"/>
      <c r="AJ76" s="243"/>
      <c r="AK76" s="243"/>
      <c r="AL76" s="1038"/>
    </row>
    <row r="77" spans="1:38" ht="20.399999999999999" customHeight="1" x14ac:dyDescent="0.3">
      <c r="A77" s="83"/>
      <c r="B77" s="83"/>
      <c r="C77" s="83"/>
      <c r="D77" s="83"/>
      <c r="E77" s="83"/>
      <c r="F77" s="83"/>
      <c r="G77" s="83"/>
      <c r="H77" s="83"/>
      <c r="I77" s="83"/>
      <c r="J77" s="83"/>
      <c r="K77" s="83"/>
      <c r="L77" s="83"/>
      <c r="M77" s="83"/>
      <c r="N77" s="83"/>
      <c r="O77" s="83"/>
      <c r="P77" s="243"/>
      <c r="Q77" s="1038"/>
      <c r="R77" s="1038"/>
      <c r="S77" s="243"/>
      <c r="T77" s="1037"/>
      <c r="U77" s="1037"/>
      <c r="V77" s="1037"/>
      <c r="W77" s="1037"/>
      <c r="X77" s="243"/>
      <c r="Y77" s="243"/>
      <c r="Z77" s="243"/>
      <c r="AA77" s="243"/>
      <c r="AB77" s="243"/>
      <c r="AC77" s="243"/>
      <c r="AD77" s="243"/>
      <c r="AE77" s="243"/>
      <c r="AF77" s="243"/>
      <c r="AG77" s="243"/>
      <c r="AH77" s="243"/>
      <c r="AI77" s="243"/>
      <c r="AJ77" s="243"/>
      <c r="AK77" s="243"/>
      <c r="AL77" s="1038"/>
    </row>
    <row r="78" spans="1:38" ht="20.399999999999999" customHeight="1" x14ac:dyDescent="0.3">
      <c r="A78" s="83"/>
      <c r="B78" s="83"/>
      <c r="C78" s="83"/>
      <c r="D78" s="83"/>
      <c r="E78" s="83"/>
      <c r="F78" s="83"/>
      <c r="G78" s="83"/>
      <c r="H78" s="83"/>
      <c r="I78" s="83"/>
      <c r="J78" s="83"/>
      <c r="K78" s="83"/>
      <c r="L78" s="83"/>
      <c r="M78" s="83"/>
      <c r="N78" s="83"/>
      <c r="O78" s="83"/>
      <c r="P78" s="243"/>
      <c r="Q78" s="1038"/>
      <c r="R78" s="1038"/>
      <c r="S78" s="243"/>
      <c r="T78" s="1037"/>
      <c r="U78" s="1037"/>
      <c r="V78" s="1037"/>
      <c r="W78" s="1037"/>
      <c r="X78" s="243"/>
      <c r="Y78" s="243"/>
      <c r="Z78" s="243"/>
      <c r="AA78" s="243"/>
      <c r="AB78" s="243"/>
      <c r="AC78" s="243"/>
      <c r="AD78" s="243"/>
      <c r="AE78" s="243"/>
      <c r="AF78" s="243"/>
      <c r="AG78" s="243"/>
      <c r="AH78" s="243"/>
      <c r="AI78" s="243"/>
      <c r="AJ78" s="243"/>
      <c r="AK78" s="243"/>
      <c r="AL78" s="1038"/>
    </row>
    <row r="79" spans="1:38" ht="20.399999999999999" customHeight="1" x14ac:dyDescent="0.3">
      <c r="A79" s="83"/>
      <c r="B79" s="83"/>
      <c r="C79" s="83"/>
      <c r="D79" s="83"/>
      <c r="E79" s="83"/>
      <c r="F79" s="83"/>
      <c r="G79" s="83"/>
      <c r="H79" s="83"/>
      <c r="I79" s="83"/>
      <c r="J79" s="83"/>
      <c r="K79" s="83"/>
      <c r="L79" s="83"/>
      <c r="M79" s="83"/>
      <c r="N79" s="83"/>
      <c r="O79" s="83"/>
      <c r="P79" s="243"/>
      <c r="Q79" s="1038"/>
      <c r="R79" s="1038"/>
      <c r="S79" s="243"/>
      <c r="T79" s="1037"/>
      <c r="U79" s="1037"/>
      <c r="V79" s="1037"/>
      <c r="W79" s="1037"/>
      <c r="X79" s="243"/>
      <c r="Y79" s="243"/>
      <c r="Z79" s="243"/>
      <c r="AA79" s="243"/>
      <c r="AB79" s="243"/>
      <c r="AC79" s="243"/>
      <c r="AD79" s="243"/>
      <c r="AE79" s="243"/>
      <c r="AF79" s="243"/>
      <c r="AG79" s="243"/>
      <c r="AH79" s="243"/>
      <c r="AI79" s="243"/>
      <c r="AJ79" s="243"/>
      <c r="AK79" s="243"/>
      <c r="AL79" s="1038"/>
    </row>
    <row r="80" spans="1:38" ht="20.399999999999999" customHeight="1" x14ac:dyDescent="0.3">
      <c r="A80" s="83"/>
      <c r="B80" s="83"/>
      <c r="C80" s="83"/>
      <c r="D80" s="83"/>
      <c r="E80" s="83"/>
      <c r="F80" s="83"/>
      <c r="G80" s="83"/>
      <c r="H80" s="83"/>
      <c r="I80" s="83"/>
      <c r="J80" s="83"/>
      <c r="K80" s="83"/>
      <c r="L80" s="83"/>
      <c r="M80" s="83"/>
      <c r="N80" s="83"/>
      <c r="O80" s="83"/>
      <c r="P80" s="243"/>
      <c r="Q80" s="1038"/>
      <c r="R80" s="1038"/>
      <c r="S80" s="243"/>
      <c r="T80" s="1037"/>
      <c r="U80" s="1037"/>
      <c r="V80" s="1037"/>
      <c r="W80" s="1037"/>
      <c r="X80" s="243"/>
      <c r="Y80" s="243"/>
      <c r="Z80" s="243"/>
      <c r="AA80" s="243"/>
      <c r="AB80" s="243"/>
      <c r="AC80" s="243"/>
      <c r="AD80" s="243"/>
      <c r="AE80" s="243"/>
      <c r="AF80" s="243"/>
      <c r="AG80" s="243"/>
      <c r="AH80" s="243"/>
      <c r="AI80" s="243"/>
      <c r="AJ80" s="243"/>
      <c r="AK80" s="243"/>
      <c r="AL80" s="1038"/>
    </row>
    <row r="81" spans="1:38" ht="20.399999999999999" customHeight="1" x14ac:dyDescent="0.3">
      <c r="A81" s="83"/>
      <c r="B81" s="83"/>
      <c r="C81" s="83"/>
      <c r="D81" s="83"/>
      <c r="E81" s="83"/>
      <c r="F81" s="83"/>
      <c r="G81" s="83"/>
      <c r="H81" s="83"/>
      <c r="I81" s="83"/>
      <c r="J81" s="83"/>
      <c r="K81" s="83"/>
      <c r="L81" s="83"/>
      <c r="M81" s="83"/>
      <c r="N81" s="83"/>
      <c r="O81" s="83"/>
      <c r="P81" s="243"/>
      <c r="Q81" s="1038"/>
      <c r="R81" s="1038"/>
      <c r="S81" s="243"/>
      <c r="T81" s="1037"/>
      <c r="U81" s="1037"/>
      <c r="V81" s="1037"/>
      <c r="W81" s="1037"/>
      <c r="X81" s="243"/>
      <c r="Y81" s="243"/>
      <c r="Z81" s="243"/>
      <c r="AA81" s="243"/>
      <c r="AB81" s="243"/>
      <c r="AC81" s="243"/>
      <c r="AD81" s="243"/>
      <c r="AE81" s="243"/>
      <c r="AF81" s="243"/>
      <c r="AG81" s="243"/>
      <c r="AH81" s="243"/>
      <c r="AI81" s="243"/>
      <c r="AJ81" s="243"/>
      <c r="AK81" s="243"/>
      <c r="AL81" s="1038"/>
    </row>
    <row r="82" spans="1:38" ht="20.399999999999999" customHeight="1" x14ac:dyDescent="0.3">
      <c r="A82" s="83"/>
      <c r="B82" s="83"/>
      <c r="C82" s="83"/>
      <c r="D82" s="83"/>
      <c r="E82" s="83"/>
      <c r="F82" s="83"/>
      <c r="G82" s="83"/>
      <c r="H82" s="83"/>
      <c r="I82" s="83"/>
      <c r="J82" s="83"/>
      <c r="K82" s="83"/>
      <c r="L82" s="83"/>
      <c r="M82" s="83"/>
      <c r="N82" s="83"/>
      <c r="O82" s="83"/>
      <c r="P82" s="243"/>
      <c r="Q82" s="1038"/>
      <c r="R82" s="1038"/>
      <c r="S82" s="243"/>
      <c r="T82" s="1037"/>
      <c r="U82" s="1037"/>
      <c r="V82" s="1037"/>
      <c r="W82" s="1037"/>
      <c r="X82" s="243"/>
      <c r="Y82" s="243"/>
      <c r="Z82" s="243"/>
      <c r="AA82" s="243"/>
      <c r="AB82" s="243"/>
      <c r="AC82" s="243"/>
      <c r="AD82" s="243"/>
      <c r="AE82" s="243"/>
      <c r="AF82" s="243"/>
      <c r="AG82" s="243"/>
      <c r="AH82" s="243"/>
      <c r="AI82" s="243"/>
      <c r="AJ82" s="243"/>
      <c r="AK82" s="243"/>
      <c r="AL82" s="1038"/>
    </row>
    <row r="83" spans="1:38" ht="20.399999999999999" customHeight="1" x14ac:dyDescent="0.3">
      <c r="A83" s="83"/>
      <c r="B83" s="83"/>
      <c r="C83" s="83"/>
      <c r="D83" s="83"/>
      <c r="E83" s="83"/>
      <c r="F83" s="83"/>
      <c r="G83" s="83"/>
      <c r="H83" s="83"/>
      <c r="I83" s="83"/>
      <c r="J83" s="83"/>
      <c r="K83" s="83"/>
      <c r="L83" s="83"/>
      <c r="M83" s="83"/>
      <c r="N83" s="83"/>
      <c r="O83" s="83"/>
      <c r="P83" s="243"/>
      <c r="Q83" s="1038"/>
      <c r="R83" s="1038"/>
      <c r="S83" s="243"/>
      <c r="T83" s="1037"/>
      <c r="U83" s="1037"/>
      <c r="V83" s="1037"/>
      <c r="W83" s="1037"/>
      <c r="X83" s="243"/>
      <c r="Y83" s="243"/>
      <c r="Z83" s="243"/>
      <c r="AA83" s="243"/>
      <c r="AB83" s="243"/>
      <c r="AC83" s="243"/>
      <c r="AD83" s="243"/>
      <c r="AE83" s="243"/>
      <c r="AF83" s="243"/>
      <c r="AG83" s="243"/>
      <c r="AH83" s="243"/>
      <c r="AI83" s="243"/>
      <c r="AJ83" s="243"/>
      <c r="AK83" s="243"/>
      <c r="AL83" s="1038"/>
    </row>
    <row r="84" spans="1:38" ht="20.399999999999999" customHeight="1" x14ac:dyDescent="0.3">
      <c r="A84" s="83"/>
      <c r="B84" s="83"/>
      <c r="C84" s="83"/>
      <c r="D84" s="83"/>
      <c r="E84" s="83"/>
      <c r="F84" s="83"/>
      <c r="G84" s="83"/>
      <c r="H84" s="83"/>
      <c r="I84" s="83"/>
      <c r="J84" s="83"/>
      <c r="K84" s="83"/>
      <c r="L84" s="83"/>
      <c r="M84" s="83"/>
      <c r="N84" s="83"/>
      <c r="O84" s="83"/>
      <c r="P84" s="243"/>
      <c r="Q84" s="1038"/>
      <c r="R84" s="1038"/>
      <c r="S84" s="243"/>
      <c r="T84" s="1037"/>
      <c r="U84" s="1037"/>
      <c r="V84" s="1037"/>
      <c r="W84" s="1037"/>
      <c r="X84" s="243"/>
      <c r="Y84" s="243"/>
      <c r="Z84" s="243"/>
      <c r="AA84" s="243"/>
      <c r="AB84" s="243"/>
      <c r="AC84" s="243"/>
      <c r="AD84" s="243"/>
      <c r="AE84" s="243"/>
      <c r="AF84" s="243"/>
      <c r="AG84" s="243"/>
      <c r="AH84" s="243"/>
      <c r="AI84" s="243"/>
      <c r="AJ84" s="243"/>
      <c r="AK84" s="243"/>
      <c r="AL84" s="1038"/>
    </row>
    <row r="85" spans="1:38" ht="20.399999999999999" customHeight="1" x14ac:dyDescent="0.3">
      <c r="A85" s="83"/>
      <c r="B85" s="83"/>
      <c r="C85" s="83"/>
      <c r="D85" s="83"/>
      <c r="E85" s="83"/>
      <c r="F85" s="83"/>
      <c r="G85" s="83"/>
      <c r="H85" s="83"/>
      <c r="I85" s="83"/>
      <c r="J85" s="83"/>
      <c r="K85" s="83"/>
      <c r="L85" s="83"/>
      <c r="M85" s="83"/>
      <c r="N85" s="83"/>
      <c r="O85" s="83"/>
      <c r="P85" s="243"/>
      <c r="Q85" s="1038"/>
      <c r="R85" s="1038"/>
      <c r="S85" s="243"/>
      <c r="T85" s="1037"/>
      <c r="U85" s="1037"/>
      <c r="V85" s="1037"/>
      <c r="W85" s="1037"/>
      <c r="X85" s="243"/>
      <c r="Y85" s="243"/>
      <c r="Z85" s="243"/>
      <c r="AA85" s="243"/>
      <c r="AB85" s="243"/>
      <c r="AC85" s="243"/>
      <c r="AD85" s="243"/>
      <c r="AE85" s="243"/>
      <c r="AF85" s="243"/>
      <c r="AG85" s="243"/>
      <c r="AH85" s="243"/>
      <c r="AI85" s="243"/>
      <c r="AJ85" s="243"/>
      <c r="AK85" s="243"/>
      <c r="AL85" s="1038"/>
    </row>
    <row r="86" spans="1:38" ht="20.399999999999999" customHeight="1" x14ac:dyDescent="0.3">
      <c r="A86" s="83"/>
      <c r="B86" s="83"/>
      <c r="C86" s="83"/>
      <c r="D86" s="83"/>
      <c r="E86" s="83"/>
      <c r="F86" s="83"/>
      <c r="G86" s="83"/>
      <c r="H86" s="83"/>
      <c r="I86" s="83"/>
      <c r="J86" s="83"/>
      <c r="K86" s="83"/>
      <c r="L86" s="83"/>
      <c r="M86" s="83"/>
      <c r="N86" s="83"/>
      <c r="O86" s="83"/>
      <c r="P86" s="243"/>
      <c r="Q86" s="1038"/>
      <c r="R86" s="1038"/>
      <c r="S86" s="243"/>
      <c r="T86" s="1037"/>
      <c r="U86" s="1037"/>
      <c r="V86" s="1037"/>
      <c r="W86" s="1037"/>
      <c r="X86" s="243"/>
      <c r="Y86" s="243"/>
      <c r="Z86" s="243"/>
      <c r="AA86" s="243"/>
      <c r="AB86" s="243"/>
      <c r="AC86" s="243"/>
      <c r="AD86" s="243"/>
      <c r="AE86" s="243"/>
      <c r="AF86" s="243"/>
      <c r="AG86" s="243"/>
      <c r="AH86" s="243"/>
      <c r="AI86" s="243"/>
      <c r="AJ86" s="243"/>
      <c r="AK86" s="243"/>
      <c r="AL86" s="1038"/>
    </row>
    <row r="87" spans="1:38" ht="20.399999999999999" customHeight="1" x14ac:dyDescent="0.3">
      <c r="A87" s="83"/>
      <c r="B87" s="83"/>
      <c r="C87" s="83"/>
      <c r="D87" s="83"/>
      <c r="E87" s="83"/>
      <c r="F87" s="83"/>
      <c r="G87" s="83"/>
      <c r="H87" s="83"/>
      <c r="I87" s="83"/>
      <c r="J87" s="83"/>
      <c r="K87" s="83"/>
      <c r="L87" s="83"/>
      <c r="M87" s="83"/>
      <c r="N87" s="83"/>
      <c r="O87" s="83"/>
      <c r="P87" s="243"/>
      <c r="Q87" s="1038"/>
      <c r="R87" s="1038"/>
      <c r="S87" s="243"/>
      <c r="T87" s="1037"/>
      <c r="U87" s="1037"/>
      <c r="V87" s="1037"/>
      <c r="W87" s="1037"/>
      <c r="X87" s="243"/>
      <c r="Y87" s="243"/>
      <c r="Z87" s="243"/>
      <c r="AA87" s="243"/>
      <c r="AB87" s="243"/>
      <c r="AC87" s="243"/>
      <c r="AD87" s="243"/>
      <c r="AE87" s="243"/>
      <c r="AF87" s="243"/>
      <c r="AG87" s="243"/>
      <c r="AH87" s="243"/>
      <c r="AI87" s="243"/>
      <c r="AJ87" s="243"/>
      <c r="AK87" s="243"/>
      <c r="AL87" s="1038"/>
    </row>
    <row r="88" spans="1:38" ht="20.399999999999999" customHeight="1" x14ac:dyDescent="0.3">
      <c r="A88" s="83"/>
      <c r="B88" s="83"/>
      <c r="C88" s="83"/>
      <c r="D88" s="83"/>
      <c r="E88" s="83"/>
      <c r="F88" s="83"/>
      <c r="G88" s="83"/>
      <c r="H88" s="83"/>
      <c r="I88" s="83"/>
      <c r="J88" s="83"/>
      <c r="K88" s="83"/>
      <c r="L88" s="83"/>
      <c r="M88" s="83"/>
      <c r="N88" s="83"/>
      <c r="O88" s="83"/>
      <c r="P88" s="243"/>
      <c r="Q88" s="1038"/>
      <c r="R88" s="1038"/>
      <c r="S88" s="243"/>
      <c r="T88" s="1037"/>
      <c r="U88" s="1037"/>
      <c r="V88" s="1037"/>
      <c r="W88" s="1037"/>
      <c r="X88" s="243"/>
      <c r="Y88" s="243"/>
      <c r="Z88" s="243"/>
      <c r="AA88" s="243"/>
      <c r="AB88" s="243"/>
      <c r="AC88" s="243"/>
      <c r="AD88" s="243"/>
      <c r="AE88" s="243"/>
      <c r="AF88" s="243"/>
      <c r="AG88" s="243"/>
      <c r="AH88" s="243"/>
      <c r="AI88" s="243"/>
      <c r="AJ88" s="243"/>
      <c r="AK88" s="243"/>
      <c r="AL88" s="1038"/>
    </row>
    <row r="89" spans="1:38" ht="20.399999999999999" customHeight="1" x14ac:dyDescent="0.3">
      <c r="A89" s="83"/>
      <c r="B89" s="83"/>
      <c r="C89" s="83"/>
      <c r="D89" s="83"/>
      <c r="E89" s="83"/>
      <c r="F89" s="83"/>
      <c r="G89" s="83"/>
      <c r="H89" s="83"/>
      <c r="I89" s="83"/>
      <c r="J89" s="83"/>
      <c r="K89" s="83"/>
      <c r="L89" s="83"/>
      <c r="M89" s="83"/>
      <c r="N89" s="83"/>
      <c r="O89" s="83"/>
      <c r="P89" s="243"/>
      <c r="Q89" s="1038"/>
      <c r="R89" s="1038"/>
      <c r="S89" s="243"/>
      <c r="T89" s="1037"/>
      <c r="U89" s="1037"/>
      <c r="V89" s="1037"/>
      <c r="W89" s="1037"/>
      <c r="X89" s="243"/>
      <c r="Y89" s="243"/>
      <c r="Z89" s="243"/>
      <c r="AA89" s="243"/>
      <c r="AB89" s="243"/>
      <c r="AC89" s="243"/>
      <c r="AD89" s="243"/>
      <c r="AE89" s="243"/>
      <c r="AF89" s="243"/>
      <c r="AG89" s="243"/>
      <c r="AH89" s="243"/>
      <c r="AI89" s="243"/>
      <c r="AJ89" s="243"/>
      <c r="AK89" s="243"/>
      <c r="AL89" s="1038"/>
    </row>
    <row r="90" spans="1:38" ht="20.399999999999999" customHeight="1" x14ac:dyDescent="0.3">
      <c r="A90" s="83"/>
      <c r="B90" s="83"/>
      <c r="C90" s="83"/>
      <c r="D90" s="83"/>
      <c r="E90" s="83"/>
      <c r="F90" s="83"/>
      <c r="G90" s="83"/>
      <c r="H90" s="83"/>
      <c r="I90" s="83"/>
      <c r="J90" s="83"/>
      <c r="K90" s="83"/>
      <c r="L90" s="83"/>
      <c r="M90" s="83"/>
      <c r="N90" s="83"/>
      <c r="O90" s="83"/>
      <c r="P90" s="243"/>
      <c r="Q90" s="1038"/>
      <c r="R90" s="1038"/>
      <c r="S90" s="243"/>
      <c r="T90" s="1037"/>
      <c r="U90" s="1037"/>
      <c r="V90" s="1037"/>
      <c r="W90" s="1037"/>
      <c r="X90" s="243"/>
      <c r="Y90" s="243"/>
      <c r="Z90" s="243"/>
      <c r="AA90" s="243"/>
      <c r="AB90" s="243"/>
      <c r="AC90" s="243"/>
      <c r="AD90" s="243"/>
      <c r="AE90" s="243"/>
      <c r="AF90" s="243"/>
      <c r="AG90" s="243"/>
      <c r="AH90" s="243"/>
      <c r="AI90" s="243"/>
      <c r="AJ90" s="243"/>
      <c r="AK90" s="243"/>
      <c r="AL90" s="1038"/>
    </row>
    <row r="91" spans="1:38" ht="20.399999999999999" customHeight="1" x14ac:dyDescent="0.3">
      <c r="A91" s="83"/>
      <c r="B91" s="83"/>
      <c r="C91" s="83"/>
      <c r="D91" s="83"/>
      <c r="E91" s="83"/>
      <c r="F91" s="83"/>
      <c r="G91" s="83"/>
      <c r="H91" s="83"/>
      <c r="I91" s="83"/>
      <c r="J91" s="83"/>
      <c r="K91" s="83"/>
      <c r="L91" s="83"/>
      <c r="M91" s="83"/>
      <c r="N91" s="83"/>
      <c r="O91" s="83"/>
      <c r="P91" s="243"/>
      <c r="Q91" s="1038"/>
      <c r="R91" s="1038"/>
      <c r="S91" s="243"/>
      <c r="T91" s="1037"/>
      <c r="U91" s="1037"/>
      <c r="V91" s="1037"/>
      <c r="W91" s="1037"/>
      <c r="X91" s="243"/>
      <c r="Y91" s="243"/>
      <c r="Z91" s="243"/>
      <c r="AA91" s="243"/>
      <c r="AB91" s="243"/>
      <c r="AC91" s="243"/>
      <c r="AD91" s="243"/>
      <c r="AE91" s="243"/>
      <c r="AF91" s="243"/>
      <c r="AG91" s="243"/>
      <c r="AH91" s="243"/>
      <c r="AI91" s="243"/>
      <c r="AJ91" s="243"/>
      <c r="AK91" s="243"/>
      <c r="AL91" s="1038"/>
    </row>
    <row r="92" spans="1:38" ht="20.399999999999999" customHeight="1" x14ac:dyDescent="0.3">
      <c r="A92" s="83"/>
      <c r="B92" s="83"/>
      <c r="C92" s="83"/>
      <c r="D92" s="83"/>
      <c r="E92" s="83"/>
      <c r="F92" s="83"/>
      <c r="G92" s="83"/>
      <c r="H92" s="83"/>
      <c r="I92" s="83"/>
      <c r="J92" s="83"/>
      <c r="K92" s="83"/>
      <c r="L92" s="83"/>
      <c r="M92" s="83"/>
      <c r="N92" s="83"/>
      <c r="P92" s="1038"/>
      <c r="Q92" s="1038"/>
      <c r="R92" s="1038"/>
      <c r="S92" s="243"/>
      <c r="T92" s="243"/>
      <c r="U92" s="243"/>
      <c r="V92" s="243"/>
      <c r="W92" s="243"/>
      <c r="X92" s="243"/>
      <c r="Y92" s="243"/>
      <c r="Z92" s="243"/>
      <c r="AA92" s="243"/>
      <c r="AB92" s="243"/>
      <c r="AC92" s="243"/>
      <c r="AD92" s="243"/>
      <c r="AE92" s="243"/>
      <c r="AF92" s="243"/>
      <c r="AG92" s="243"/>
      <c r="AH92" s="243"/>
      <c r="AI92" s="243"/>
      <c r="AJ92" s="243"/>
      <c r="AK92" s="243"/>
      <c r="AL92" s="1038"/>
    </row>
    <row r="93" spans="1:38" ht="20.399999999999999" customHeight="1" x14ac:dyDescent="0.3">
      <c r="A93" s="83"/>
      <c r="B93" s="83"/>
      <c r="C93" s="83"/>
      <c r="D93" s="83"/>
      <c r="E93" s="83"/>
      <c r="F93" s="83"/>
      <c r="G93" s="83"/>
      <c r="H93" s="83"/>
      <c r="I93" s="83"/>
      <c r="J93" s="83"/>
      <c r="K93" s="83"/>
      <c r="L93" s="83"/>
      <c r="M93" s="83"/>
      <c r="N93" s="83"/>
      <c r="P93" s="1038"/>
      <c r="Q93" s="1038"/>
      <c r="R93" s="1038"/>
      <c r="S93" s="243"/>
      <c r="T93" s="243"/>
      <c r="U93" s="243"/>
      <c r="V93" s="243"/>
      <c r="W93" s="243"/>
      <c r="X93" s="243"/>
      <c r="Y93" s="243"/>
      <c r="Z93" s="243"/>
      <c r="AA93" s="243"/>
      <c r="AB93" s="243"/>
      <c r="AC93" s="243"/>
      <c r="AD93" s="243"/>
      <c r="AE93" s="243"/>
      <c r="AF93" s="243"/>
      <c r="AG93" s="243"/>
      <c r="AH93" s="243"/>
      <c r="AI93" s="243"/>
      <c r="AJ93" s="243"/>
      <c r="AK93" s="243"/>
      <c r="AL93" s="1038"/>
    </row>
    <row r="94" spans="1:38" ht="20.399999999999999" customHeight="1" x14ac:dyDescent="0.3">
      <c r="A94" s="83"/>
      <c r="B94" s="83"/>
      <c r="C94" s="83"/>
      <c r="D94" s="83"/>
      <c r="E94" s="83"/>
      <c r="F94" s="83"/>
      <c r="G94" s="83"/>
      <c r="H94" s="83"/>
      <c r="I94" s="83"/>
      <c r="J94" s="83"/>
      <c r="K94" s="83"/>
      <c r="L94" s="83"/>
      <c r="M94" s="83"/>
      <c r="N94" s="83"/>
      <c r="P94" s="1038"/>
      <c r="Q94" s="1038"/>
      <c r="R94" s="1038"/>
      <c r="S94" s="243"/>
      <c r="T94" s="243"/>
      <c r="U94" s="243"/>
      <c r="V94" s="243"/>
      <c r="W94" s="243"/>
      <c r="X94" s="243"/>
      <c r="Y94" s="243"/>
      <c r="Z94" s="243"/>
      <c r="AA94" s="243"/>
      <c r="AB94" s="243"/>
      <c r="AC94" s="243"/>
      <c r="AD94" s="243"/>
      <c r="AE94" s="243"/>
      <c r="AF94" s="243"/>
      <c r="AG94" s="243"/>
      <c r="AH94" s="243"/>
      <c r="AI94" s="243"/>
      <c r="AJ94" s="243"/>
      <c r="AK94" s="243"/>
      <c r="AL94" s="1038"/>
    </row>
    <row r="95" spans="1:38" ht="20.399999999999999" customHeight="1" x14ac:dyDescent="0.3">
      <c r="A95" s="83"/>
      <c r="B95" s="83"/>
      <c r="C95" s="83"/>
      <c r="D95" s="83"/>
      <c r="E95" s="83"/>
      <c r="F95" s="83"/>
      <c r="G95" s="83"/>
      <c r="H95" s="83"/>
      <c r="I95" s="83"/>
      <c r="J95" s="83"/>
      <c r="K95" s="83"/>
      <c r="L95" s="83"/>
      <c r="M95" s="83"/>
      <c r="N95" s="83"/>
      <c r="P95" s="1038"/>
      <c r="Q95" s="1038"/>
      <c r="R95" s="1038"/>
      <c r="S95" s="243"/>
      <c r="T95" s="243"/>
      <c r="U95" s="243"/>
      <c r="V95" s="243"/>
      <c r="W95" s="243"/>
      <c r="X95" s="243"/>
      <c r="Y95" s="243"/>
      <c r="Z95" s="243"/>
      <c r="AA95" s="243"/>
      <c r="AB95" s="243"/>
      <c r="AC95" s="243"/>
      <c r="AD95" s="243"/>
      <c r="AE95" s="243"/>
      <c r="AF95" s="243"/>
      <c r="AG95" s="243"/>
      <c r="AH95" s="243"/>
      <c r="AI95" s="243"/>
      <c r="AJ95" s="243"/>
      <c r="AK95" s="243"/>
      <c r="AL95" s="1038"/>
    </row>
    <row r="96" spans="1:38" ht="20.399999999999999" customHeight="1" x14ac:dyDescent="0.3">
      <c r="A96" s="83"/>
      <c r="B96" s="83"/>
      <c r="C96" s="83"/>
      <c r="D96" s="83"/>
      <c r="E96" s="83"/>
      <c r="F96" s="83"/>
      <c r="G96" s="83"/>
      <c r="H96" s="83"/>
      <c r="I96" s="83"/>
      <c r="J96" s="83"/>
      <c r="K96" s="83"/>
      <c r="L96" s="83"/>
      <c r="M96" s="83"/>
      <c r="N96" s="83"/>
      <c r="P96" s="1038"/>
      <c r="Q96" s="1038"/>
      <c r="R96" s="1038"/>
      <c r="S96" s="243"/>
      <c r="T96" s="243"/>
      <c r="U96" s="243"/>
      <c r="V96" s="243"/>
      <c r="W96" s="243"/>
      <c r="X96" s="243"/>
      <c r="Y96" s="243"/>
      <c r="Z96" s="243"/>
      <c r="AA96" s="243"/>
      <c r="AB96" s="243"/>
      <c r="AC96" s="243"/>
      <c r="AD96" s="243"/>
      <c r="AE96" s="243"/>
      <c r="AF96" s="243"/>
      <c r="AG96" s="243"/>
      <c r="AH96" s="243"/>
      <c r="AI96" s="243"/>
      <c r="AJ96" s="243"/>
      <c r="AK96" s="243"/>
      <c r="AL96" s="1038"/>
    </row>
    <row r="97" spans="1:37" ht="20.399999999999999" customHeight="1" x14ac:dyDescent="0.3">
      <c r="A97" s="83"/>
      <c r="B97" s="83"/>
      <c r="C97" s="83"/>
      <c r="D97" s="83"/>
      <c r="E97" s="83"/>
      <c r="F97" s="83"/>
      <c r="G97" s="83"/>
      <c r="H97" s="83"/>
      <c r="I97" s="83"/>
      <c r="J97" s="83"/>
      <c r="K97" s="83"/>
      <c r="L97" s="83"/>
      <c r="M97" s="83"/>
      <c r="N97" s="83"/>
      <c r="S97" s="83"/>
      <c r="T97" s="83"/>
      <c r="U97" s="83"/>
      <c r="V97" s="83"/>
      <c r="W97" s="83"/>
      <c r="X97" s="83"/>
      <c r="Y97" s="83"/>
      <c r="Z97" s="83"/>
      <c r="AA97" s="83"/>
      <c r="AB97" s="83"/>
      <c r="AC97" s="83"/>
      <c r="AD97" s="83"/>
      <c r="AE97" s="83"/>
      <c r="AF97" s="83"/>
      <c r="AG97" s="83"/>
      <c r="AH97" s="83"/>
      <c r="AI97" s="83"/>
      <c r="AJ97" s="83"/>
      <c r="AK97" s="83"/>
    </row>
    <row r="98" spans="1:37" ht="20.399999999999999" customHeight="1" x14ac:dyDescent="0.3">
      <c r="A98" s="83"/>
      <c r="B98" s="83"/>
      <c r="C98" s="83"/>
      <c r="D98" s="83"/>
      <c r="E98" s="83"/>
      <c r="F98" s="83"/>
      <c r="G98" s="83"/>
      <c r="H98" s="83"/>
      <c r="K98" s="83"/>
      <c r="L98" s="83"/>
      <c r="M98" s="83"/>
      <c r="N98" s="83"/>
      <c r="S98" s="83"/>
      <c r="T98" s="83"/>
      <c r="U98" s="83"/>
      <c r="V98" s="83"/>
      <c r="W98" s="83"/>
      <c r="X98" s="83"/>
      <c r="Y98" s="83"/>
      <c r="Z98" s="83"/>
      <c r="AA98" s="83"/>
      <c r="AB98" s="83"/>
      <c r="AC98" s="83"/>
      <c r="AD98" s="83"/>
      <c r="AE98" s="83"/>
      <c r="AF98" s="83"/>
      <c r="AG98" s="83"/>
      <c r="AH98" s="83"/>
      <c r="AI98" s="83"/>
      <c r="AJ98" s="83"/>
      <c r="AK98" s="83"/>
    </row>
    <row r="99" spans="1:37" x14ac:dyDescent="0.3">
      <c r="B99" s="83"/>
      <c r="C99" s="83"/>
      <c r="D99" s="83"/>
      <c r="E99" s="83"/>
      <c r="F99" s="83"/>
      <c r="G99" s="83"/>
      <c r="H99" s="83"/>
    </row>
  </sheetData>
  <mergeCells count="36">
    <mergeCell ref="T42:U42"/>
    <mergeCell ref="B41:K41"/>
    <mergeCell ref="P41:S41"/>
    <mergeCell ref="P42:Q42"/>
    <mergeCell ref="R42:S42"/>
    <mergeCell ref="M44:N44"/>
    <mergeCell ref="G1:H1"/>
    <mergeCell ref="I1:J1"/>
    <mergeCell ref="B1:E1"/>
    <mergeCell ref="B3:E3"/>
    <mergeCell ref="B4:C4"/>
    <mergeCell ref="I5:J5"/>
    <mergeCell ref="B13:E13"/>
    <mergeCell ref="B14:C14"/>
    <mergeCell ref="G7:H7"/>
    <mergeCell ref="B7:C7"/>
    <mergeCell ref="B8:C8"/>
    <mergeCell ref="B9:C9"/>
    <mergeCell ref="B10:C10"/>
    <mergeCell ref="B11:C11"/>
    <mergeCell ref="B5:C5"/>
    <mergeCell ref="B6:C6"/>
    <mergeCell ref="G6:H6"/>
    <mergeCell ref="G11:H11"/>
    <mergeCell ref="G5:H5"/>
    <mergeCell ref="B22:C22"/>
    <mergeCell ref="B19:E19"/>
    <mergeCell ref="G10:H10"/>
    <mergeCell ref="G9:H9"/>
    <mergeCell ref="G8:H8"/>
    <mergeCell ref="G13:J13"/>
    <mergeCell ref="B20:C20"/>
    <mergeCell ref="B16:C16"/>
    <mergeCell ref="B17:C17"/>
    <mergeCell ref="B21:C21"/>
    <mergeCell ref="B15:C15"/>
  </mergeCells>
  <dataValidations disablePrompts="1"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9" r:id="rId5" name="Button 33">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10" r:id="rId6" name="Button 34">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11" r:id="rId7" name="Button 35">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2122A-4091-4E5C-A412-EA26336444CE}">
  <sheetPr codeName="Sheet1"/>
  <dimension ref="B2:N17"/>
  <sheetViews>
    <sheetView showGridLines="0" zoomScale="160" zoomScaleNormal="160" workbookViewId="0">
      <selection activeCell="B2" sqref="B2:K2"/>
    </sheetView>
  </sheetViews>
  <sheetFormatPr defaultRowHeight="14.4" x14ac:dyDescent="0.3"/>
  <cols>
    <col min="1" max="1" width="2.88671875" customWidth="1"/>
    <col min="2" max="4" width="17.44140625" style="992"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1096" t="str">
        <f>+'Plant Overview'!E6&amp;": Input to SSM"</f>
        <v>GSR-H₂ : Input to SSM</v>
      </c>
      <c r="C2" s="1097"/>
      <c r="D2" s="1097"/>
      <c r="E2" s="1097"/>
      <c r="F2" s="1097"/>
      <c r="G2" s="1097"/>
      <c r="H2" s="1097"/>
      <c r="I2" s="1097"/>
      <c r="J2" s="1097"/>
      <c r="K2" s="1098"/>
    </row>
    <row r="4" spans="2:14" ht="17.399999999999999" customHeight="1" x14ac:dyDescent="0.3">
      <c r="B4" s="995" t="s">
        <v>461</v>
      </c>
      <c r="C4" s="996" t="s">
        <v>664</v>
      </c>
      <c r="D4" s="997" t="s">
        <v>235</v>
      </c>
      <c r="F4" s="1281" t="str">
        <f>+'Plant Overview'!D5</f>
        <v>Cost Estimate Details</v>
      </c>
      <c r="G4" s="1282"/>
      <c r="I4" s="1283" t="s">
        <v>495</v>
      </c>
      <c r="J4" s="1284"/>
      <c r="K4" s="998"/>
    </row>
    <row r="5" spans="2:14" ht="17.399999999999999" customHeight="1" x14ac:dyDescent="0.3">
      <c r="B5" s="992" t="str">
        <f>+'Plant Overview'!D26</f>
        <v>η H₂</v>
      </c>
      <c r="C5" s="999">
        <f>+'Plant Overview'!E26</f>
        <v>0.88778915614756715</v>
      </c>
      <c r="D5" s="992" t="s">
        <v>1055</v>
      </c>
      <c r="F5" s="100" t="str">
        <f>+'Plant Overview'!D7</f>
        <v>Location</v>
      </c>
      <c r="G5" s="444" t="str">
        <f>+'Plant Overview'!E7</f>
        <v>Western Europe</v>
      </c>
      <c r="I5" s="1000"/>
      <c r="J5" s="236"/>
      <c r="K5" s="236"/>
    </row>
    <row r="6" spans="2:14" ht="17.399999999999999" customHeight="1" x14ac:dyDescent="0.3">
      <c r="B6" s="992" t="str">
        <f>+'Plant Overview'!D29</f>
        <v>η El.</v>
      </c>
      <c r="C6" s="1001">
        <f>+'Plant Overview'!E29</f>
        <v>-3.8810656895868767E-2</v>
      </c>
      <c r="D6" s="992" t="str">
        <f>+D5</f>
        <v>% of LHV input</v>
      </c>
      <c r="F6" s="100" t="str">
        <f>+'Plant Overview'!D8</f>
        <v>Year</v>
      </c>
      <c r="G6" s="100">
        <f>+'Plant Overview'!E8</f>
        <v>2020</v>
      </c>
      <c r="I6" s="1285" t="s">
        <v>1075</v>
      </c>
      <c r="J6" s="259" t="s">
        <v>577</v>
      </c>
      <c r="K6" s="260" t="s">
        <v>578</v>
      </c>
      <c r="N6" s="1272"/>
    </row>
    <row r="7" spans="2:14" ht="17.399999999999999" customHeight="1" x14ac:dyDescent="0.3">
      <c r="B7" s="992" t="str">
        <f>+'Plant Overview'!D44</f>
        <v>CC</v>
      </c>
      <c r="C7" s="1010">
        <f>+'Plant Overview'!E44</f>
        <v>0.94563882051171866</v>
      </c>
      <c r="D7" s="992" t="s">
        <v>456</v>
      </c>
      <c r="F7" s="445" t="str">
        <f>+'Plant Overview'!D9</f>
        <v xml:space="preserve"> Currency</v>
      </c>
      <c r="G7" s="445" t="str">
        <f>+'Plant Overview'!E9</f>
        <v>€</v>
      </c>
      <c r="I7" s="1286"/>
      <c r="J7" s="86"/>
      <c r="K7" s="86"/>
      <c r="N7" s="1272"/>
    </row>
    <row r="8" spans="2:14" ht="17.399999999999999" customHeight="1" x14ac:dyDescent="0.3">
      <c r="B8" s="992" t="s">
        <v>437</v>
      </c>
      <c r="C8" s="196">
        <f>+'Plant CAPEX'!K13*10^6/('Plant Overview'!I32*'Plant Overview'!I59)</f>
        <v>812.24488194618505</v>
      </c>
      <c r="D8" s="993" t="s">
        <v>1056</v>
      </c>
      <c r="I8" s="1002"/>
    </row>
    <row r="9" spans="2:14" ht="17.399999999999999" customHeight="1" x14ac:dyDescent="0.3">
      <c r="B9" s="992" t="s">
        <v>457</v>
      </c>
      <c r="C9" s="1003">
        <f>+('Plant OPEX'!G19-'Plant OPEX'!G18)*10^6/('Plant Overview'!I32*'Plant Overview'!I59)/'Input to SSM'!C8</f>
        <v>3.7901048766325891E-2</v>
      </c>
      <c r="D9" s="992" t="s">
        <v>1057</v>
      </c>
      <c r="F9" s="1039" t="s">
        <v>579</v>
      </c>
      <c r="G9" s="1040"/>
      <c r="H9" s="1040"/>
      <c r="I9" s="1040"/>
      <c r="J9" s="1040"/>
      <c r="K9" s="1041"/>
    </row>
    <row r="10" spans="2:14" ht="17.399999999999999" customHeight="1" x14ac:dyDescent="0.3">
      <c r="B10" s="992" t="s">
        <v>458</v>
      </c>
      <c r="C10" s="1004">
        <f>+('Plant OPEX'!U25-'Plant OPEX'!U17-'Plant OPEX'!U16)*10^6/('Plant Overview'!I32*'Plant Overview'!I59/1000*'Plant OPEX'!Q10)</f>
        <v>3.2149582624131106</v>
      </c>
      <c r="D10" s="993" t="s">
        <v>1087</v>
      </c>
      <c r="F10" s="1042" t="s">
        <v>1076</v>
      </c>
      <c r="G10" s="1273"/>
      <c r="H10" s="1273"/>
      <c r="I10" s="1273"/>
      <c r="J10" s="1273"/>
      <c r="K10" s="1274"/>
    </row>
    <row r="11" spans="2:14" ht="17.399999999999999" customHeight="1" x14ac:dyDescent="0.3">
      <c r="F11" s="1275"/>
      <c r="G11" s="1276"/>
      <c r="H11" s="1276"/>
      <c r="I11" s="1276"/>
      <c r="J11" s="1276"/>
      <c r="K11" s="1277"/>
    </row>
    <row r="12" spans="2:14" ht="17.399999999999999" customHeight="1" x14ac:dyDescent="0.3">
      <c r="F12" s="1278"/>
      <c r="G12" s="1279"/>
      <c r="H12" s="1279"/>
      <c r="I12" s="1279"/>
      <c r="J12" s="1279"/>
      <c r="K12" s="1280"/>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280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33280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33280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B2" sqref="B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95" customHeight="1" x14ac:dyDescent="0.3"/>
    <row r="2" spans="2:37" ht="19.95" customHeight="1" x14ac:dyDescent="0.3">
      <c r="B2" s="207" t="s">
        <v>648</v>
      </c>
      <c r="C2" s="207"/>
      <c r="D2" s="207"/>
      <c r="E2" s="207"/>
      <c r="F2" s="207"/>
      <c r="G2" s="207"/>
      <c r="H2" s="207"/>
      <c r="I2" s="207"/>
      <c r="J2" s="207"/>
      <c r="K2" s="207"/>
      <c r="L2" s="209"/>
      <c r="M2" s="209"/>
      <c r="O2" s="1287" t="s">
        <v>499</v>
      </c>
      <c r="P2" s="1288"/>
      <c r="Q2" s="1288"/>
      <c r="R2" s="1289"/>
      <c r="T2" s="1287" t="s">
        <v>267</v>
      </c>
      <c r="U2" s="1289"/>
    </row>
    <row r="3" spans="2:37" ht="19.95" customHeight="1" x14ac:dyDescent="0.3">
      <c r="B3" s="1290" t="s">
        <v>1053</v>
      </c>
      <c r="C3" s="1290"/>
      <c r="D3" s="1290"/>
      <c r="E3" s="1291"/>
      <c r="F3" s="1291"/>
      <c r="G3" s="1291"/>
      <c r="H3" s="1291"/>
      <c r="I3" s="1291"/>
      <c r="J3" s="1291"/>
      <c r="K3" s="207"/>
      <c r="L3" s="1292" t="s">
        <v>653</v>
      </c>
      <c r="M3" s="1293"/>
      <c r="N3" s="207"/>
      <c r="O3" s="471"/>
      <c r="P3" s="379"/>
      <c r="Q3" s="214" t="s">
        <v>469</v>
      </c>
      <c r="R3" s="215" t="s">
        <v>503</v>
      </c>
      <c r="T3" s="85"/>
      <c r="U3" s="395" t="s">
        <v>262</v>
      </c>
    </row>
    <row r="4" spans="2:37" ht="19.95" customHeight="1" x14ac:dyDescent="0.3">
      <c r="B4" s="425" t="s">
        <v>495</v>
      </c>
      <c r="C4" s="547" t="s">
        <v>685</v>
      </c>
      <c r="D4" s="588" t="s">
        <v>1051</v>
      </c>
      <c r="E4" s="464"/>
      <c r="F4" s="429"/>
      <c r="G4" s="429"/>
      <c r="H4" s="429"/>
      <c r="I4" s="429"/>
      <c r="J4" s="430"/>
      <c r="K4" s="413"/>
      <c r="L4" s="427" t="s">
        <v>577</v>
      </c>
      <c r="M4" s="426"/>
      <c r="N4" s="413"/>
      <c r="O4" s="437"/>
      <c r="P4" s="391"/>
      <c r="Q4" s="189" t="s">
        <v>470</v>
      </c>
      <c r="R4" s="380" t="s">
        <v>504</v>
      </c>
      <c r="T4" s="208"/>
      <c r="U4" s="395" t="s">
        <v>263</v>
      </c>
    </row>
    <row r="5" spans="2:37" ht="19.95" customHeight="1" x14ac:dyDescent="0.3">
      <c r="B5" s="1140"/>
      <c r="C5" s="540" t="s">
        <v>359</v>
      </c>
      <c r="D5" s="588" t="s">
        <v>1050</v>
      </c>
      <c r="E5" s="465"/>
      <c r="F5" s="418"/>
      <c r="G5" s="418"/>
      <c r="H5" s="418"/>
      <c r="I5" s="418"/>
      <c r="J5" s="431"/>
      <c r="K5" s="413"/>
      <c r="L5" s="428" t="s">
        <v>578</v>
      </c>
      <c r="M5" s="426"/>
      <c r="N5" s="413"/>
      <c r="O5" s="437"/>
      <c r="P5" s="391"/>
      <c r="Q5" s="214" t="s">
        <v>464</v>
      </c>
      <c r="R5" s="215" t="s">
        <v>502</v>
      </c>
      <c r="T5" s="95"/>
      <c r="U5" s="473" t="s">
        <v>264</v>
      </c>
    </row>
    <row r="6" spans="2:37" ht="19.95" customHeight="1" x14ac:dyDescent="0.3">
      <c r="B6" s="1294"/>
      <c r="C6" s="547" t="s">
        <v>588</v>
      </c>
      <c r="D6" s="588" t="s">
        <v>1022</v>
      </c>
      <c r="E6" s="465"/>
      <c r="F6" s="418"/>
      <c r="G6" s="418"/>
      <c r="H6" s="418"/>
      <c r="I6" s="418"/>
      <c r="J6" s="431"/>
      <c r="K6" s="413"/>
      <c r="L6" s="413"/>
      <c r="M6" s="413"/>
      <c r="N6" s="413"/>
      <c r="O6" s="437"/>
      <c r="P6" s="391"/>
      <c r="Q6" s="214" t="s">
        <v>465</v>
      </c>
      <c r="R6" s="215" t="s">
        <v>500</v>
      </c>
      <c r="T6" s="110"/>
      <c r="U6" s="477" t="s">
        <v>268</v>
      </c>
    </row>
    <row r="7" spans="2:37" ht="19.95" customHeight="1" x14ac:dyDescent="0.3">
      <c r="B7" s="1141"/>
      <c r="C7" s="587" t="s">
        <v>312</v>
      </c>
      <c r="D7" s="588" t="s">
        <v>434</v>
      </c>
      <c r="E7" s="466"/>
      <c r="F7" s="432"/>
      <c r="G7" s="432"/>
      <c r="H7" s="432"/>
      <c r="I7" s="432"/>
      <c r="J7" s="433"/>
      <c r="K7" s="413"/>
      <c r="L7" s="413"/>
      <c r="M7" s="413"/>
      <c r="N7" s="413"/>
      <c r="O7" s="472"/>
      <c r="P7" s="473"/>
      <c r="Q7" s="214" t="s">
        <v>466</v>
      </c>
      <c r="R7" s="215" t="s">
        <v>501</v>
      </c>
    </row>
    <row r="8" spans="2:37" ht="19.95" customHeight="1" x14ac:dyDescent="0.3">
      <c r="B8" s="468">
        <v>1</v>
      </c>
      <c r="Q8" s="180"/>
      <c r="R8" s="180"/>
      <c r="S8" s="415"/>
      <c r="T8" s="414"/>
      <c r="AI8" s="92"/>
      <c r="AJ8" s="92"/>
      <c r="AK8" s="92"/>
    </row>
    <row r="9" spans="2:37" ht="19.95" customHeight="1" x14ac:dyDescent="0.3">
      <c r="B9" s="189" t="s">
        <v>652</v>
      </c>
      <c r="C9" s="1287"/>
      <c r="D9" s="1288"/>
      <c r="E9" s="1288"/>
      <c r="F9" s="1288"/>
      <c r="G9" s="1288"/>
      <c r="H9" s="1288"/>
      <c r="I9" s="1288"/>
      <c r="J9" s="1288"/>
      <c r="K9" s="1288"/>
      <c r="L9" s="1288"/>
      <c r="M9" s="1288"/>
      <c r="N9" s="1288"/>
      <c r="O9" s="1288"/>
      <c r="P9" s="1288"/>
      <c r="Q9" s="1288"/>
      <c r="R9" s="1288"/>
      <c r="S9" s="1288"/>
      <c r="T9" s="1288"/>
      <c r="U9" s="1289"/>
    </row>
    <row r="10" spans="2:37" ht="19.95" customHeight="1" x14ac:dyDescent="0.3">
      <c r="B10" s="1102" t="s">
        <v>682</v>
      </c>
      <c r="C10" s="1103"/>
      <c r="D10" s="1103"/>
      <c r="E10" s="1103"/>
      <c r="F10" s="1103"/>
      <c r="G10" s="1103"/>
      <c r="H10" s="1103"/>
      <c r="I10" s="1104"/>
      <c r="J10" s="1102" t="s">
        <v>683</v>
      </c>
      <c r="K10" s="1103"/>
      <c r="L10" s="1103"/>
      <c r="M10" s="1103"/>
      <c r="N10" s="1103"/>
      <c r="O10" s="1103"/>
      <c r="P10" s="1103"/>
      <c r="Q10" s="1103"/>
      <c r="R10" s="1104"/>
      <c r="S10" s="1102" t="s">
        <v>643</v>
      </c>
      <c r="T10" s="1103"/>
      <c r="U10" s="1104"/>
    </row>
    <row r="11" spans="2:37" ht="19.95" customHeight="1" x14ac:dyDescent="0.3">
      <c r="B11" s="547" t="s">
        <v>356</v>
      </c>
      <c r="C11" s="524" t="s">
        <v>645</v>
      </c>
      <c r="D11" s="547" t="s">
        <v>497</v>
      </c>
      <c r="E11" s="553" t="s">
        <v>463</v>
      </c>
      <c r="F11" s="553" t="s">
        <v>315</v>
      </c>
      <c r="G11" s="553" t="s">
        <v>508</v>
      </c>
      <c r="H11" s="547" t="s">
        <v>505</v>
      </c>
      <c r="I11" s="539" t="s">
        <v>235</v>
      </c>
      <c r="J11" s="538" t="s">
        <v>465</v>
      </c>
      <c r="K11" s="538" t="s">
        <v>466</v>
      </c>
      <c r="L11" s="545" t="s">
        <v>585</v>
      </c>
      <c r="M11" s="546" t="s">
        <v>468</v>
      </c>
      <c r="N11" s="542" t="s">
        <v>467</v>
      </c>
      <c r="O11" s="632" t="s">
        <v>649</v>
      </c>
      <c r="P11" s="632" t="s">
        <v>650</v>
      </c>
      <c r="Q11" s="546" t="s">
        <v>464</v>
      </c>
      <c r="R11" s="543" t="s">
        <v>638</v>
      </c>
      <c r="S11" s="632" t="s">
        <v>646</v>
      </c>
      <c r="T11" s="547" t="s">
        <v>359</v>
      </c>
      <c r="U11" s="586" t="s">
        <v>579</v>
      </c>
    </row>
    <row r="12" spans="2:37" ht="19.95" customHeight="1" x14ac:dyDescent="0.3">
      <c r="B12" s="966" t="s">
        <v>1046</v>
      </c>
      <c r="C12" s="967" t="s">
        <v>1047</v>
      </c>
      <c r="D12" s="967"/>
      <c r="E12" s="967" t="s">
        <v>455</v>
      </c>
      <c r="F12" s="967">
        <v>2020</v>
      </c>
      <c r="G12" s="967" t="s">
        <v>487</v>
      </c>
      <c r="H12" s="967" t="s">
        <v>815</v>
      </c>
      <c r="I12" s="967" t="s">
        <v>877</v>
      </c>
      <c r="J12" s="966">
        <v>1</v>
      </c>
      <c r="K12" s="967">
        <v>0.67</v>
      </c>
      <c r="L12" s="967">
        <v>1</v>
      </c>
      <c r="M12" s="977">
        <f>+'Unit-500 - H2 Production'!Q46</f>
        <v>0.70850000000000002</v>
      </c>
      <c r="N12" s="978">
        <f ca="1">+'Unit-500 - H2 Production'!S46</f>
        <v>10.075062343221806</v>
      </c>
      <c r="O12" s="977">
        <v>10</v>
      </c>
      <c r="P12" s="977">
        <v>0.5</v>
      </c>
      <c r="Q12" s="968">
        <v>1</v>
      </c>
      <c r="R12" s="979" cm="1">
        <f t="array" aca="1" ref="R12" ca="1">+IF(N12&gt;0,N12*INDIRECT(ADDRESS(MATCH(F12,'Cost Conversion'!$B$3:$B$48,0)+2,4,1,1,"Cost conversion"))*INDIRECT(ADDRESS(MATCH(G12,'Cost Conversion'!$F$3:$F$22,0)+2,8,1,1,"Cost conversion"))/IF(E12="$",'Cost Conversion'!$L$2,1),"")</f>
        <v>10.075062343221806</v>
      </c>
      <c r="S12" s="966"/>
      <c r="T12" s="967"/>
      <c r="U12" s="968"/>
    </row>
    <row r="13" spans="2:37" ht="19.95" customHeight="1" x14ac:dyDescent="0.3">
      <c r="B13" s="961" t="s">
        <v>876</v>
      </c>
      <c r="C13" s="889" t="s">
        <v>358</v>
      </c>
      <c r="D13" s="889" t="s">
        <v>876</v>
      </c>
      <c r="E13" s="889" t="s">
        <v>455</v>
      </c>
      <c r="F13" s="889">
        <v>2014</v>
      </c>
      <c r="G13" s="889" t="s">
        <v>487</v>
      </c>
      <c r="H13" s="167" t="s">
        <v>815</v>
      </c>
      <c r="I13" s="167" t="s">
        <v>877</v>
      </c>
      <c r="J13" s="961">
        <v>1</v>
      </c>
      <c r="K13" s="889">
        <v>0.67</v>
      </c>
      <c r="L13" s="889">
        <v>1</v>
      </c>
      <c r="M13" s="392">
        <v>7.2897222222222222</v>
      </c>
      <c r="N13" s="889">
        <v>44</v>
      </c>
      <c r="O13" s="392">
        <f>+O12</f>
        <v>10</v>
      </c>
      <c r="P13" s="392">
        <f>+P12</f>
        <v>0.5</v>
      </c>
      <c r="Q13" s="962">
        <v>1</v>
      </c>
      <c r="R13" s="265" cm="1">
        <f t="array" aca="1" ref="R13" ca="1">+IF(N13&gt;0,N13*INDIRECT(ADDRESS(MATCH(F13,'Cost Conversion'!$B$3:$B$48,0)+2,4,1,1,"Cost conversion"))*INDIRECT(ADDRESS(MATCH(G13,'Cost Conversion'!$F$3:$F$22,0)+2,8,1,1,"Cost conversion"))/IF(E13="$",'Cost Conversion'!$L$2,1),"")</f>
        <v>48.032633223398712</v>
      </c>
      <c r="S13" s="961">
        <v>7</v>
      </c>
      <c r="T13" s="889" t="s">
        <v>1039</v>
      </c>
      <c r="U13" s="962" t="s">
        <v>1052</v>
      </c>
    </row>
    <row r="14" spans="2:37" ht="19.95" customHeight="1" x14ac:dyDescent="0.3">
      <c r="B14" s="961" t="s">
        <v>1039</v>
      </c>
      <c r="C14" s="889" t="s">
        <v>358</v>
      </c>
      <c r="D14" s="889" t="s">
        <v>1039</v>
      </c>
      <c r="E14" s="889" t="s">
        <v>455</v>
      </c>
      <c r="F14" s="889">
        <v>2007</v>
      </c>
      <c r="G14" s="889" t="s">
        <v>487</v>
      </c>
      <c r="H14" s="889" t="s">
        <v>815</v>
      </c>
      <c r="I14" s="889" t="s">
        <v>877</v>
      </c>
      <c r="J14" s="961">
        <v>1</v>
      </c>
      <c r="K14" s="889">
        <v>0.6</v>
      </c>
      <c r="L14" s="889">
        <v>1</v>
      </c>
      <c r="M14" s="392">
        <v>4.7413888888888893</v>
      </c>
      <c r="N14" s="392">
        <v>27.96</v>
      </c>
      <c r="O14" s="392">
        <f>+O12</f>
        <v>10</v>
      </c>
      <c r="P14" s="392">
        <f>+P13</f>
        <v>0.5</v>
      </c>
      <c r="Q14" s="962">
        <v>1</v>
      </c>
      <c r="R14" s="265" cm="1">
        <f t="array" aca="1" ref="R14" ca="1">+IF(N14&gt;0,N14*INDIRECT(ADDRESS(MATCH(F14,'Cost Conversion'!$B$3:$B$48,0)+2,4,1,1,"Cost conversion"))*INDIRECT(ADDRESS(MATCH(G14,'Cost Conversion'!$F$3:$F$22,0)+2,8,1,1,"Cost conversion"))/IF(E14="$",'Cost Conversion'!$L$2,1),"")</f>
        <v>33.467917776931863</v>
      </c>
      <c r="S14" s="961">
        <v>6</v>
      </c>
      <c r="T14" s="889" t="s">
        <v>876</v>
      </c>
      <c r="U14" s="962" t="s">
        <v>1052</v>
      </c>
    </row>
    <row r="15" spans="2:37" ht="19.95" customHeight="1" x14ac:dyDescent="0.3">
      <c r="B15" s="961"/>
      <c r="C15" s="889"/>
      <c r="D15" s="889"/>
      <c r="E15" s="889"/>
      <c r="F15" s="889"/>
      <c r="G15" s="889"/>
      <c r="H15" s="889"/>
      <c r="I15" s="416"/>
      <c r="J15" s="961"/>
      <c r="K15" s="889"/>
      <c r="L15" s="889"/>
      <c r="M15" s="392"/>
      <c r="N15" s="889"/>
      <c r="O15" s="889"/>
      <c r="P15" s="889"/>
      <c r="Q15" s="962"/>
      <c r="R15" s="265" t="str" cm="1">
        <f t="array" aca="1" ref="R15" ca="1">+IF(N15&gt;0,N15*INDIRECT(ADDRESS(MATCH(F15,'Cost Conversion'!$B$3:$B$48,0)+2,4,1,1,"Cost conversion"))*INDIRECT(ADDRESS(MATCH(G15,'Cost Conversion'!$F$3:$F$22,0)+2,8,1,1,"Cost conversion"))/IF(E15="$",'Cost Conversion'!$L$2,1),"")</f>
        <v/>
      </c>
      <c r="S15" s="961"/>
      <c r="T15" s="889"/>
      <c r="U15" s="962"/>
    </row>
    <row r="16" spans="2:37" ht="19.95" customHeight="1" x14ac:dyDescent="0.3">
      <c r="B16" s="961"/>
      <c r="C16" s="889"/>
      <c r="D16" s="889"/>
      <c r="E16" s="889"/>
      <c r="F16" s="889"/>
      <c r="G16" s="889"/>
      <c r="H16" s="889"/>
      <c r="I16" s="889"/>
      <c r="J16" s="961"/>
      <c r="K16" s="889"/>
      <c r="L16" s="889"/>
      <c r="M16" s="889"/>
      <c r="N16" s="889"/>
      <c r="O16" s="889"/>
      <c r="P16" s="889"/>
      <c r="Q16" s="962"/>
      <c r="R16" s="265" t="str" cm="1">
        <f t="array" aca="1" ref="R16" ca="1">+IF(N16&gt;0,N16*INDIRECT(ADDRESS(MATCH(F16,'Cost Conversion'!$B$3:$B$48,0)+2,4,1,1,"Cost conversion"))*INDIRECT(ADDRESS(MATCH(G16,'Cost Conversion'!$F$3:$F$22,0)+2,8,1,1,"Cost conversion"))/IF(E16="$",'Cost Conversion'!$L$2,1),"")</f>
        <v/>
      </c>
      <c r="S16" s="961"/>
      <c r="T16" s="889"/>
      <c r="U16" s="962"/>
    </row>
    <row r="17" spans="2:21" ht="19.95" customHeight="1" x14ac:dyDescent="0.3">
      <c r="B17" s="963"/>
      <c r="C17" s="964"/>
      <c r="D17" s="964"/>
      <c r="E17" s="964"/>
      <c r="F17" s="964"/>
      <c r="G17" s="964"/>
      <c r="H17" s="964"/>
      <c r="I17" s="964"/>
      <c r="J17" s="963"/>
      <c r="K17" s="964"/>
      <c r="L17" s="964"/>
      <c r="M17" s="964"/>
      <c r="N17" s="964"/>
      <c r="O17" s="964"/>
      <c r="P17" s="964"/>
      <c r="Q17" s="965"/>
      <c r="R17" s="265" t="str" cm="1">
        <f t="array" aca="1" ref="R17" ca="1">+IF(N17&gt;0,N17*INDIRECT(ADDRESS(MATCH(F17,'Cost Conversion'!$B$3:$B$48,0)+2,4,1,1,"Cost conversion"))*INDIRECT(ADDRESS(MATCH(G17,'Cost Conversion'!$F$3:$F$22,0)+2,8,1,1,"Cost conversion"))/IF(E17="$",'Cost Conversion'!$L$2,1),"")</f>
        <v/>
      </c>
      <c r="S17" s="963"/>
      <c r="T17" s="964"/>
      <c r="U17" s="965"/>
    </row>
    <row r="18" spans="2:21" ht="19.95" customHeight="1" x14ac:dyDescent="0.3">
      <c r="B18" s="471"/>
      <c r="C18" s="378"/>
      <c r="D18" s="378"/>
      <c r="E18" s="378"/>
      <c r="F18" s="378"/>
      <c r="G18" s="378"/>
      <c r="H18" s="378"/>
      <c r="I18" s="378"/>
      <c r="J18" s="889"/>
      <c r="K18" s="889"/>
      <c r="L18" s="889"/>
      <c r="M18" s="889"/>
      <c r="N18" s="889"/>
      <c r="O18" s="889"/>
      <c r="P18" s="889"/>
      <c r="Q18" s="889"/>
      <c r="R18" s="378"/>
      <c r="S18" s="378"/>
      <c r="T18" s="330"/>
      <c r="U18" s="125"/>
    </row>
    <row r="19" spans="2:21" ht="19.95" customHeight="1" x14ac:dyDescent="0.3">
      <c r="B19" s="437"/>
      <c r="C19" s="476"/>
      <c r="D19" s="476"/>
      <c r="E19" s="476"/>
      <c r="F19" s="476"/>
      <c r="G19" s="476"/>
      <c r="H19" s="476"/>
      <c r="I19" s="476"/>
      <c r="J19" s="476"/>
      <c r="K19" s="476"/>
      <c r="L19" s="476"/>
      <c r="M19" s="476"/>
      <c r="N19" s="476"/>
      <c r="O19" s="476"/>
      <c r="P19" s="476"/>
      <c r="Q19" s="476"/>
      <c r="R19" s="476"/>
      <c r="S19" s="476"/>
      <c r="T19" s="92"/>
      <c r="U19" s="84"/>
    </row>
    <row r="20" spans="2:21" ht="19.95" customHeight="1" x14ac:dyDescent="0.3">
      <c r="B20" s="437"/>
      <c r="C20" s="476"/>
      <c r="D20" s="476"/>
      <c r="E20" s="476"/>
      <c r="F20" s="476"/>
      <c r="G20" s="476"/>
      <c r="H20" s="476"/>
      <c r="I20" s="476"/>
      <c r="J20" s="476"/>
      <c r="K20" s="476"/>
      <c r="L20" s="476"/>
      <c r="M20" s="476"/>
      <c r="N20" s="476"/>
      <c r="O20" s="476"/>
      <c r="P20" s="476"/>
      <c r="Q20" s="476"/>
      <c r="R20" s="476"/>
      <c r="S20" s="476"/>
      <c r="T20" s="92"/>
      <c r="U20" s="84"/>
    </row>
    <row r="21" spans="2:21" ht="19.95" customHeight="1" x14ac:dyDescent="0.3">
      <c r="B21" s="437"/>
      <c r="C21" s="476"/>
      <c r="D21" s="476"/>
      <c r="E21" s="476"/>
      <c r="F21" s="476"/>
      <c r="G21" s="476"/>
      <c r="H21" s="476"/>
      <c r="I21" s="476"/>
      <c r="J21" s="1204" t="str">
        <f>TEXT(C9,0)</f>
        <v>0</v>
      </c>
      <c r="K21" s="1205"/>
      <c r="L21" s="1205"/>
      <c r="M21" s="1205"/>
      <c r="N21" s="1205"/>
      <c r="O21" s="1205"/>
      <c r="P21" s="1205"/>
      <c r="Q21" s="1205"/>
      <c r="R21" s="1205"/>
      <c r="S21" s="1205"/>
      <c r="T21" s="1206"/>
      <c r="U21" s="84"/>
    </row>
    <row r="22" spans="2:21" ht="19.95" customHeight="1" x14ac:dyDescent="0.3">
      <c r="B22" s="437"/>
      <c r="C22" s="476"/>
      <c r="D22" s="476"/>
      <c r="E22" s="476"/>
      <c r="F22" s="476"/>
      <c r="G22" s="476"/>
      <c r="H22" s="476"/>
      <c r="I22" s="476"/>
      <c r="J22" s="419" t="s">
        <v>647</v>
      </c>
      <c r="K22" s="420">
        <v>1</v>
      </c>
      <c r="L22" s="420">
        <v>2</v>
      </c>
      <c r="M22" s="420">
        <v>3</v>
      </c>
      <c r="N22" s="420">
        <v>4</v>
      </c>
      <c r="O22" s="420">
        <v>5</v>
      </c>
      <c r="P22" s="420">
        <v>6</v>
      </c>
      <c r="Q22" s="420">
        <v>7</v>
      </c>
      <c r="R22" s="420">
        <v>8</v>
      </c>
      <c r="S22" s="420">
        <v>9</v>
      </c>
      <c r="T22" s="421">
        <v>10</v>
      </c>
      <c r="U22" s="84"/>
    </row>
    <row r="23" spans="2:21" ht="19.95" customHeight="1" x14ac:dyDescent="0.3">
      <c r="B23" s="437"/>
      <c r="C23" s="476"/>
      <c r="D23" s="476"/>
      <c r="E23" s="476"/>
      <c r="F23" s="476"/>
      <c r="G23" s="476"/>
      <c r="H23" s="476"/>
      <c r="I23" s="476"/>
      <c r="J23" s="86" t="str">
        <f>+TEXT(H12,0)&amp;" "&amp;"("&amp;TEXT(I12,0)&amp;")"</f>
        <v>Molar flow (kmol/s)</v>
      </c>
      <c r="K23" s="449">
        <f>+P12</f>
        <v>0.5</v>
      </c>
      <c r="L23" s="422">
        <f>+K23+(O12-P12)/(T22-1)</f>
        <v>1.5555555555555556</v>
      </c>
      <c r="M23" s="422">
        <f>+L23+(O12-P12)/(T22-1)</f>
        <v>2.6111111111111112</v>
      </c>
      <c r="N23" s="422">
        <f>+M23+(O12-P12)/(T22-1)</f>
        <v>3.666666666666667</v>
      </c>
      <c r="O23" s="422">
        <f>+N23+(O12-P12)/(T22-1)</f>
        <v>4.7222222222222223</v>
      </c>
      <c r="P23" s="422">
        <f>+O23+(O12-P12)/(T22-1)</f>
        <v>5.7777777777777777</v>
      </c>
      <c r="Q23" s="422">
        <f>+P23+(O12-P12)/(T22-1)</f>
        <v>6.833333333333333</v>
      </c>
      <c r="R23" s="422">
        <f>+Q23+(O12-P12)/(T22-1)</f>
        <v>7.8888888888888884</v>
      </c>
      <c r="S23" s="422">
        <f>+R23+(O12-P12)/(T22-1)</f>
        <v>8.9444444444444446</v>
      </c>
      <c r="T23" s="423">
        <f>+S23+(O12-P12)/(T22-1)</f>
        <v>10</v>
      </c>
      <c r="U23" s="84"/>
    </row>
    <row r="24" spans="2:21" ht="19.95" customHeight="1" x14ac:dyDescent="0.3">
      <c r="B24" s="437"/>
      <c r="C24" s="476"/>
      <c r="D24" s="476"/>
      <c r="E24" s="476"/>
      <c r="F24" s="476"/>
      <c r="G24" s="476"/>
      <c r="H24" s="476"/>
      <c r="I24" s="476"/>
      <c r="J24" s="255" t="str">
        <f>+TEXT(B12,0)&amp;" - Scaling"</f>
        <v>Estimate - Scaling</v>
      </c>
      <c r="K24" s="486">
        <f ca="1">+(Q12/L12)^J12*R12*((K23/Q12)/(M12/L12))^K12</f>
        <v>7.9768227619849545</v>
      </c>
      <c r="L24" s="487">
        <f ca="1">+(Q12/L12)^J12*R12*((L23/Q12)/(M12/L12))^K12</f>
        <v>17.06409821870059</v>
      </c>
      <c r="M24" s="487">
        <f ca="1">+(Q12/L12)^J12*R12*((M23/Q12)/(M12/L12))^K12</f>
        <v>24.143099599065668</v>
      </c>
      <c r="N24" s="487">
        <f ca="1">+(Q12/L12)^J12*R12*((N23/Q12)/(M12/L12))^K12</f>
        <v>30.309718158454107</v>
      </c>
      <c r="O24" s="487">
        <f ca="1">+(Q12/L12)^J12*R12*((O23/Q12)/(M12/L12))^K12</f>
        <v>35.908572564465828</v>
      </c>
      <c r="P24" s="487">
        <f ca="1">+(Q12/L12)^J12*R12*((P23/Q12)/(M12/L12))^K12</f>
        <v>41.105487058376362</v>
      </c>
      <c r="Q24" s="487">
        <f ca="1">+(Q12/L12)^J12*R12*((Q23/Q12)/(M12/L12))^K12</f>
        <v>45.996404635470348</v>
      </c>
      <c r="R24" s="487">
        <f ca="1">+(Q12/L12)^J12*R12*((R23/Q12)/(M12/L12))^K12</f>
        <v>50.6431431194436</v>
      </c>
      <c r="S24" s="487">
        <f ca="1">+(Q12/L12)^J12*R12*((S23/Q12)/(M12/L12))^K12</f>
        <v>55.088481095513266</v>
      </c>
      <c r="T24" s="488">
        <f ca="1">+(Q12/L12)^J12*R12*((T23/Q12)/(M12/L12))^K12</f>
        <v>59.36357396386925</v>
      </c>
      <c r="U24" s="84"/>
    </row>
    <row r="25" spans="2:21" ht="19.95" customHeight="1" x14ac:dyDescent="0.3">
      <c r="B25" s="437"/>
      <c r="C25" s="476"/>
      <c r="D25" s="476"/>
      <c r="E25" s="476"/>
      <c r="F25" s="476"/>
      <c r="G25" s="476"/>
      <c r="H25" s="476"/>
      <c r="I25" s="476"/>
      <c r="J25" s="255" t="str">
        <f>+TEXT(B13,0)&amp;" - Scaling"</f>
        <v>IEAGHG - Scaling</v>
      </c>
      <c r="K25" s="489">
        <f ca="1">+(Q13/L13)^J13*R13*((K23/Q13)/(M13/L13))^K13</f>
        <v>7.9768227619849554</v>
      </c>
      <c r="L25" s="175">
        <f ca="1">+(Q13/L13)^J13*R13*((L23/Q13)/(M13/L13))^K13</f>
        <v>17.06409821870059</v>
      </c>
      <c r="M25" s="175">
        <f ca="1">+(Q13/L13)^J13*R13*((M23/Q13)/(M13/L13))^K13</f>
        <v>24.143099599065671</v>
      </c>
      <c r="N25" s="175">
        <f ca="1">+(Q13/L13)^J13*R13*((N23/Q13)/(M13/L13))^K13</f>
        <v>30.309718158454103</v>
      </c>
      <c r="O25" s="175">
        <f ca="1">+(Q13/L13)^J13*R13*((O23/Q13)/(M13/L13))^K13</f>
        <v>35.908572564465828</v>
      </c>
      <c r="P25" s="175">
        <f ca="1">+(Q13/L13)^J13*R13*((P23/Q13)/(M13/L13))^K13</f>
        <v>41.105487058376362</v>
      </c>
      <c r="Q25" s="175">
        <f ca="1">+(Q13/L13)^J13*R13*((Q23/Q13)/(M13/L13))^K13</f>
        <v>45.996404635470348</v>
      </c>
      <c r="R25" s="175">
        <f ca="1">+(Q13/L13)^J13*R13*((R23/Q13)/(M13/L13))^K13</f>
        <v>50.643143119443607</v>
      </c>
      <c r="S25" s="175">
        <f ca="1">+(Q13/L13)^J13*R13*((S23/Q13)/(M13/L13))^K13</f>
        <v>55.088481095513266</v>
      </c>
      <c r="T25" s="490">
        <f ca="1">+(Q13/L13)^J13*R13*((T23/Q13)/(M13/L13))^K13</f>
        <v>59.36357396386925</v>
      </c>
      <c r="U25" s="84"/>
    </row>
    <row r="26" spans="2:21" ht="19.95" customHeight="1" x14ac:dyDescent="0.3">
      <c r="B26" s="437"/>
      <c r="C26" s="476"/>
      <c r="D26" s="476"/>
      <c r="E26" s="476"/>
      <c r="F26" s="476"/>
      <c r="G26" s="476"/>
      <c r="H26" s="476"/>
      <c r="I26" s="476"/>
      <c r="J26" s="255" t="str">
        <f>+TEXT(B14,0)&amp;" - Scaling"</f>
        <v>Spallina - Scaling</v>
      </c>
      <c r="K26" s="489">
        <f ca="1">+(Q14/L14)^J14*R14*((K23/Q14)/(M14/L14))^K14</f>
        <v>8.6789532574053503</v>
      </c>
      <c r="L26" s="175">
        <f ca="1">+(Q14/L14)^J14*R14*((L23/Q14)/(M14/L14))^K14</f>
        <v>17.148125865122708</v>
      </c>
      <c r="M26" s="175">
        <f ca="1">+(Q14/L14)^J14*R14*((M23/Q14)/(M14/L14))^K14</f>
        <v>23.398098153282724</v>
      </c>
      <c r="N26" s="175">
        <f ca="1">+(Q14/L14)^J14*R14*((N23/Q14)/(M14/L14))^K14</f>
        <v>28.684560827287999</v>
      </c>
      <c r="O26" s="175">
        <f ca="1">+(Q14/L14)^J14*R14*((O23/Q14)/(M14/L14))^K14</f>
        <v>33.386677275093419</v>
      </c>
      <c r="P26" s="175">
        <f ca="1">+(Q14/L14)^J14*R14*((P23/Q14)/(M14/L14))^K14</f>
        <v>37.682685636364681</v>
      </c>
      <c r="Q26" s="175">
        <f ca="1">+(Q14/L14)^J14*R14*((Q23/Q14)/(M14/L14))^K14</f>
        <v>41.673973437388099</v>
      </c>
      <c r="R26" s="175">
        <f ca="1">+(Q14/L14)^J14*R14*((R23/Q14)/(M14/L14))^K14</f>
        <v>45.42499104275285</v>
      </c>
      <c r="S26" s="175">
        <f ca="1">+(Q14/L14)^J14*R14*((S23/Q14)/(M14/L14))^K14</f>
        <v>48.97984081528346</v>
      </c>
      <c r="T26" s="490">
        <f ca="1">+(Q14/L14)^J14*R14*((T23/Q14)/(M14/L14))^K14</f>
        <v>52.370334371816938</v>
      </c>
      <c r="U26" s="84"/>
    </row>
    <row r="27" spans="2:21" ht="19.95" customHeight="1" x14ac:dyDescent="0.3">
      <c r="B27" s="437"/>
      <c r="C27" s="476"/>
      <c r="D27" s="476"/>
      <c r="E27" s="476"/>
      <c r="F27" s="476"/>
      <c r="G27" s="476"/>
      <c r="H27" s="476"/>
      <c r="I27" s="476"/>
      <c r="J27" s="255" t="str">
        <f>+IF(B15="","",TEXT(B15,0)&amp;" - Scaling")</f>
        <v/>
      </c>
      <c r="K27" s="489" t="e">
        <f ca="1">+(Q15/L15)^J15*R15*((K23/Q15)/(M15/L15))^K15</f>
        <v>#DIV/0!</v>
      </c>
      <c r="L27" s="175" t="e">
        <f ca="1">+(Q15/L15)^J15*R15*((L23/Q15)/(M15/L15))^K15</f>
        <v>#DIV/0!</v>
      </c>
      <c r="M27" s="175" t="e">
        <f ca="1">+(Q15/L15)^J15*R15*((M23/Q15)/(M15/L15))^K15</f>
        <v>#DIV/0!</v>
      </c>
      <c r="N27" s="175" t="e">
        <f ca="1">+(Q15/L15)^J15*R15*((N23/Q15)/(M15/L15))^K15</f>
        <v>#DIV/0!</v>
      </c>
      <c r="O27" s="175" t="e">
        <f ca="1">+(Q15/L15)^J15*R15*((O23/Q15)/(M15/L15))^K15</f>
        <v>#DIV/0!</v>
      </c>
      <c r="P27" s="175" t="e">
        <f ca="1">+(Q15/L15)^J15*R15*((P23/Q15)/(M15/L15))^K15</f>
        <v>#DIV/0!</v>
      </c>
      <c r="Q27" s="175" t="e">
        <f ca="1">+(Q15/L15)^J15*R15*((Q23/Q15)/(M15/L15))^K15</f>
        <v>#DIV/0!</v>
      </c>
      <c r="R27" s="175" t="e">
        <f ca="1">+(Q15/L15)^J15*R15*((R23/Q15)/(M15/L15))^K15</f>
        <v>#DIV/0!</v>
      </c>
      <c r="S27" s="175" t="e">
        <f ca="1">+(Q15/L15)^J15*R15*((S23/Q15)/(M15/L15))^K15</f>
        <v>#DIV/0!</v>
      </c>
      <c r="T27" s="490" t="e">
        <f ca="1">+(Q15/L15)^J15*R15*((T23/Q15)/(M15/L15))^K15</f>
        <v>#DIV/0!</v>
      </c>
      <c r="U27" s="84"/>
    </row>
    <row r="28" spans="2:21" ht="19.95" customHeight="1" x14ac:dyDescent="0.3">
      <c r="B28" s="437"/>
      <c r="C28" s="476"/>
      <c r="D28" s="476"/>
      <c r="E28" s="476"/>
      <c r="F28" s="476"/>
      <c r="G28" s="476"/>
      <c r="H28" s="476"/>
      <c r="I28" s="476"/>
      <c r="J28" s="255" t="str">
        <f t="shared" ref="J28:J29" si="0">+IF(B16="","",TEXT(B16,0)&amp;" - Scaling")</f>
        <v/>
      </c>
      <c r="K28" s="384" t="e">
        <f ca="1">+(Q16/L16)^J16*R16*((K24/Q16)/(M16/L16))^K16</f>
        <v>#DIV/0!</v>
      </c>
      <c r="L28" s="175" t="e">
        <f ca="1">+(Q16/L16)^J16*R16*((L23/Q16)/(M16/L16))^K16</f>
        <v>#DIV/0!</v>
      </c>
      <c r="M28" s="175" t="e">
        <f ca="1">+(Q16/L16)^J16*R16*((M23/Q16)/(M16/L16))^K16</f>
        <v>#DIV/0!</v>
      </c>
      <c r="N28" s="175" t="e">
        <f ca="1">+(Q16/L16)^J16*R16*((N23/Q16)/(M16/L16))^K16</f>
        <v>#DIV/0!</v>
      </c>
      <c r="O28" s="175" t="e">
        <f ca="1">+(Q16/L16)^J16*R16*((O23/Q16)/(M16/L16))^K16</f>
        <v>#DIV/0!</v>
      </c>
      <c r="P28" s="175" t="e">
        <f ca="1">+(Q16/L16)^J16*R16*((P23/Q16)/(M16/L16))^K16</f>
        <v>#DIV/0!</v>
      </c>
      <c r="Q28" s="175" t="e">
        <f ca="1">+(Q16/L16)^J16*R16*((Q23/Q16)/(M16/L16))^K16</f>
        <v>#DIV/0!</v>
      </c>
      <c r="R28" s="175" t="e">
        <f ca="1">+(Q16/L16)^J16*R16*((R23/Q16)/(M16/L16))^K16</f>
        <v>#DIV/0!</v>
      </c>
      <c r="S28" s="175" t="e">
        <f ca="1">+(Q16/L16)^J16*R16*((S23/Q16)/(M16/L16))^K16</f>
        <v>#DIV/0!</v>
      </c>
      <c r="T28" s="490" t="e">
        <f ca="1">+(Q16/L16)^J16*R16*((T23/Q16)/(M16/L16))^K16</f>
        <v>#DIV/0!</v>
      </c>
      <c r="U28" s="84"/>
    </row>
    <row r="29" spans="2:21" ht="19.95" customHeight="1" x14ac:dyDescent="0.3">
      <c r="B29" s="437"/>
      <c r="C29" s="476"/>
      <c r="D29" s="476"/>
      <c r="E29" s="476"/>
      <c r="F29" s="476"/>
      <c r="G29" s="476"/>
      <c r="H29" s="476"/>
      <c r="I29" s="476"/>
      <c r="J29" s="255" t="str">
        <f t="shared" si="0"/>
        <v/>
      </c>
      <c r="K29" s="491" t="e">
        <f ca="1">+(Q17/L17)^J17*R17*((K23/Q17)/(M17/L17))^K17</f>
        <v>#DIV/0!</v>
      </c>
      <c r="L29" s="492" t="e">
        <f ca="1">+(Q17/L17)^J17*R17*((L23/Q17)/(M17/L17))^K17</f>
        <v>#DIV/0!</v>
      </c>
      <c r="M29" s="492" t="e">
        <f ca="1">+(Q17/L17)^J17*R17*((M23/Q17)/(M17/L17))^K17</f>
        <v>#DIV/0!</v>
      </c>
      <c r="N29" s="492" t="e">
        <f ca="1">+(Q17/L17)^J17*R17*((N23/Q17)/(M17/L17))^K17</f>
        <v>#DIV/0!</v>
      </c>
      <c r="O29" s="492" t="e">
        <f ca="1">+(Q17/L17)^J17*R17*((O23/Q17)/(M17/L17))^K17</f>
        <v>#DIV/0!</v>
      </c>
      <c r="P29" s="492" t="e" cm="1">
        <f t="array" aca="1" ref="P29" ca="1">+(Q17/L17)^J17*R17*((P23/Q17)/(M17/P26L17))^K17</f>
        <v>#DIV/0!</v>
      </c>
      <c r="Q29" s="492" t="e">
        <f ca="1">+(Q17/L17)^J17*R17*((Q23/Q17)/(M17/L17))^K17</f>
        <v>#DIV/0!</v>
      </c>
      <c r="R29" s="492" t="e">
        <f ca="1">+(Q17/L17)^J17*R17*((R23/Q17)/(M17/L17))^K17</f>
        <v>#DIV/0!</v>
      </c>
      <c r="S29" s="492" t="e">
        <f ca="1">+(Q17/L17)^J17*R17*((S23/Q17)/(M17/L17))^K17</f>
        <v>#DIV/0!</v>
      </c>
      <c r="T29" s="493" t="e">
        <f ca="1">+(Q17/L17)^J17*R17*((T23/Q17)/(M17/L17))^K17</f>
        <v>#DIV/0!</v>
      </c>
      <c r="U29" s="84"/>
    </row>
    <row r="30" spans="2:21" ht="19.95" customHeight="1" x14ac:dyDescent="0.3">
      <c r="B30" s="437"/>
      <c r="C30" s="476"/>
      <c r="D30" s="476"/>
      <c r="E30" s="476"/>
      <c r="F30" s="476"/>
      <c r="G30" s="476"/>
      <c r="H30" s="476"/>
      <c r="I30" s="476"/>
      <c r="J30" s="495" t="s">
        <v>575</v>
      </c>
      <c r="K30" s="495" t="s">
        <v>651</v>
      </c>
      <c r="L30" s="254"/>
      <c r="M30" s="254"/>
      <c r="N30" s="254"/>
      <c r="O30" s="254"/>
      <c r="P30" s="254"/>
      <c r="Q30" s="254"/>
      <c r="R30" s="254"/>
      <c r="S30" s="254"/>
      <c r="T30" s="494"/>
      <c r="U30" s="84"/>
    </row>
    <row r="31" spans="2:21" ht="19.95" customHeight="1" x14ac:dyDescent="0.3">
      <c r="B31" s="437"/>
      <c r="C31" s="476"/>
      <c r="D31" s="476"/>
      <c r="E31" s="476"/>
      <c r="F31" s="476"/>
      <c r="G31" s="476"/>
      <c r="H31" s="476"/>
      <c r="I31" s="476"/>
      <c r="J31" s="495" t="str">
        <f>+B12</f>
        <v>Estimate</v>
      </c>
      <c r="K31" s="496">
        <f ca="1">+R12/(M12/Q12)</f>
        <v>14.220271479494432</v>
      </c>
      <c r="L31" s="254"/>
      <c r="M31" s="254"/>
      <c r="N31" s="254"/>
      <c r="O31" s="254"/>
      <c r="P31" s="254"/>
      <c r="Q31" s="254"/>
      <c r="R31" s="254"/>
      <c r="S31" s="254"/>
      <c r="T31" s="494"/>
      <c r="U31" s="84"/>
    </row>
    <row r="32" spans="2:21" ht="19.95" customHeight="1" x14ac:dyDescent="0.3">
      <c r="B32" s="437"/>
      <c r="C32" s="476"/>
      <c r="D32" s="476"/>
      <c r="E32" s="476"/>
      <c r="F32" s="476"/>
      <c r="G32" s="476"/>
      <c r="H32" s="476"/>
      <c r="I32" s="476"/>
      <c r="J32" s="255" t="str">
        <f>+B13</f>
        <v>IEAGHG</v>
      </c>
      <c r="K32" s="497">
        <f ca="1">+R13/(M13/Q13)</f>
        <v>6.5890896469243367</v>
      </c>
      <c r="L32" s="254"/>
      <c r="M32" s="254"/>
      <c r="N32" s="254"/>
      <c r="O32" s="254"/>
      <c r="P32" s="254"/>
      <c r="Q32" s="254"/>
      <c r="R32" s="254"/>
      <c r="S32" s="254"/>
      <c r="T32" s="494"/>
      <c r="U32" s="84"/>
    </row>
    <row r="33" spans="2:21" ht="19.95" customHeight="1" x14ac:dyDescent="0.3">
      <c r="B33" s="91"/>
      <c r="C33" s="92"/>
      <c r="D33" s="92"/>
      <c r="E33" s="92"/>
      <c r="F33" s="476"/>
      <c r="G33" s="476"/>
      <c r="H33" s="92"/>
      <c r="I33" s="92"/>
      <c r="J33" s="255" t="str">
        <f>+B14</f>
        <v>Spallina</v>
      </c>
      <c r="K33" s="497">
        <f ca="1">+R14/(M14/Q14)</f>
        <v>7.0586738530057236</v>
      </c>
      <c r="L33" s="494"/>
      <c r="M33" s="494"/>
      <c r="N33" s="494"/>
      <c r="O33" s="494"/>
      <c r="P33" s="494"/>
      <c r="Q33" s="494"/>
      <c r="R33" s="494"/>
      <c r="S33" s="494"/>
      <c r="T33" s="494"/>
      <c r="U33" s="84"/>
    </row>
    <row r="34" spans="2:21" ht="19.95" customHeight="1" x14ac:dyDescent="0.3">
      <c r="B34" s="91"/>
      <c r="C34" s="92"/>
      <c r="D34" s="92"/>
      <c r="E34" s="92"/>
      <c r="F34" s="476"/>
      <c r="G34" s="476"/>
      <c r="H34" s="92"/>
      <c r="I34" s="92"/>
      <c r="J34" s="255" t="str">
        <f>+IF(B15="","",B15)</f>
        <v/>
      </c>
      <c r="K34" s="497" t="e">
        <f ca="1">+R15/(M15/Q15)</f>
        <v>#VALUE!</v>
      </c>
      <c r="L34" s="494"/>
      <c r="M34" s="494"/>
      <c r="N34" s="494"/>
      <c r="O34" s="494"/>
      <c r="P34" s="494"/>
      <c r="Q34" s="494"/>
      <c r="R34" s="494"/>
      <c r="S34" s="494"/>
      <c r="T34" s="494"/>
      <c r="U34" s="84"/>
    </row>
    <row r="35" spans="2:21" ht="19.95" customHeight="1" x14ac:dyDescent="0.3">
      <c r="B35" s="91"/>
      <c r="C35" s="92"/>
      <c r="D35" s="92"/>
      <c r="E35" s="92"/>
      <c r="F35" s="476"/>
      <c r="G35" s="476"/>
      <c r="H35" s="92"/>
      <c r="I35" s="92"/>
      <c r="J35" s="255" t="str">
        <f t="shared" ref="J35:J36" si="1">+IF(B16="","",B16)</f>
        <v/>
      </c>
      <c r="K35" s="497" t="e">
        <f t="shared" ref="K35:K36" ca="1" si="2">+R16/(M16/Q16)</f>
        <v>#VALUE!</v>
      </c>
      <c r="L35" s="494"/>
      <c r="M35" s="494"/>
      <c r="N35" s="494"/>
      <c r="O35" s="494"/>
      <c r="P35" s="494"/>
      <c r="Q35" s="494"/>
      <c r="R35" s="494"/>
      <c r="S35" s="494"/>
      <c r="T35" s="494"/>
      <c r="U35" s="84"/>
    </row>
    <row r="36" spans="2:21" ht="19.95" customHeight="1" x14ac:dyDescent="0.3">
      <c r="B36" s="91"/>
      <c r="C36" s="92"/>
      <c r="D36" s="92"/>
      <c r="E36" s="92"/>
      <c r="F36" s="476"/>
      <c r="G36" s="476"/>
      <c r="H36" s="92"/>
      <c r="I36" s="92"/>
      <c r="J36" s="286" t="str">
        <f t="shared" si="1"/>
        <v/>
      </c>
      <c r="K36" s="498" t="e">
        <f t="shared" ca="1" si="2"/>
        <v>#VALUE!</v>
      </c>
      <c r="L36" s="494"/>
      <c r="M36" s="494"/>
      <c r="N36" s="494"/>
      <c r="O36" s="494"/>
      <c r="P36" s="494"/>
      <c r="Q36" s="494"/>
      <c r="R36" s="494"/>
      <c r="S36" s="494"/>
      <c r="T36" s="494"/>
      <c r="U36" s="84"/>
    </row>
    <row r="37" spans="2:21" ht="19.95" customHeight="1" x14ac:dyDescent="0.3">
      <c r="B37" s="91"/>
      <c r="C37" s="92"/>
      <c r="D37" s="92"/>
      <c r="E37" s="92"/>
      <c r="F37" s="476"/>
      <c r="G37" s="476"/>
      <c r="H37" s="92"/>
      <c r="I37" s="92"/>
      <c r="J37" s="494"/>
      <c r="K37" s="494"/>
      <c r="L37" s="494"/>
      <c r="M37" s="494"/>
      <c r="N37" s="494"/>
      <c r="O37" s="494"/>
      <c r="P37" s="494"/>
      <c r="Q37" s="494"/>
      <c r="R37" s="494"/>
      <c r="S37" s="494"/>
      <c r="T37" s="494"/>
      <c r="U37" s="84"/>
    </row>
    <row r="38" spans="2:21" ht="19.95" customHeight="1" x14ac:dyDescent="0.3">
      <c r="B38" s="91"/>
      <c r="C38" s="92"/>
      <c r="D38" s="92"/>
      <c r="E38" s="92"/>
      <c r="F38" s="476"/>
      <c r="G38" s="476"/>
      <c r="H38" s="92"/>
      <c r="I38" s="92"/>
      <c r="J38" s="92"/>
      <c r="K38" s="92"/>
      <c r="L38" s="92"/>
      <c r="M38" s="92"/>
      <c r="N38" s="92"/>
      <c r="O38" s="92"/>
      <c r="P38" s="92"/>
      <c r="Q38" s="92"/>
      <c r="R38" s="92"/>
      <c r="S38" s="92"/>
      <c r="T38" s="92"/>
      <c r="U38" s="84"/>
    </row>
    <row r="39" spans="2:21" ht="19.95" customHeight="1" x14ac:dyDescent="0.3">
      <c r="B39" s="91"/>
      <c r="C39" s="92"/>
      <c r="D39" s="92"/>
      <c r="E39" s="92"/>
      <c r="F39" s="476"/>
      <c r="G39" s="476"/>
      <c r="H39" s="92"/>
      <c r="I39" s="92"/>
      <c r="J39" s="92"/>
      <c r="K39" s="92"/>
      <c r="L39" s="92"/>
      <c r="M39" s="92"/>
      <c r="N39" s="92"/>
      <c r="O39" s="92"/>
      <c r="P39" s="92"/>
      <c r="Q39" s="92"/>
      <c r="R39" s="92"/>
      <c r="S39" s="92"/>
      <c r="T39" s="92"/>
      <c r="U39" s="84"/>
    </row>
    <row r="40" spans="2:21" ht="19.95" customHeight="1" x14ac:dyDescent="0.3">
      <c r="B40" s="91"/>
      <c r="C40" s="92"/>
      <c r="D40" s="92"/>
      <c r="E40" s="92"/>
      <c r="F40" s="476"/>
      <c r="G40" s="476"/>
      <c r="H40" s="92"/>
      <c r="I40" s="92"/>
      <c r="J40" s="92"/>
      <c r="K40" s="92"/>
      <c r="L40" s="92"/>
      <c r="M40" s="92"/>
      <c r="N40" s="92"/>
      <c r="O40" s="92"/>
      <c r="P40" s="92"/>
      <c r="Q40" s="92"/>
      <c r="R40" s="92"/>
      <c r="S40" s="92"/>
      <c r="T40" s="92"/>
      <c r="U40" s="84"/>
    </row>
    <row r="41" spans="2:21" ht="19.95" customHeight="1" x14ac:dyDescent="0.3">
      <c r="B41" s="91"/>
      <c r="C41" s="92"/>
      <c r="D41" s="92"/>
      <c r="E41" s="92"/>
      <c r="F41" s="476"/>
      <c r="G41" s="476"/>
      <c r="H41" s="92"/>
      <c r="I41" s="92"/>
      <c r="J41" s="92"/>
      <c r="K41" s="92"/>
      <c r="L41" s="92"/>
      <c r="M41" s="92"/>
      <c r="N41" s="92"/>
      <c r="O41" s="92"/>
      <c r="P41" s="92"/>
      <c r="Q41" s="92"/>
      <c r="R41" s="92"/>
      <c r="S41" s="92"/>
      <c r="T41" s="92"/>
      <c r="U41" s="84"/>
    </row>
    <row r="42" spans="2:21" ht="19.95" customHeight="1" x14ac:dyDescent="0.3">
      <c r="B42" s="91"/>
      <c r="C42" s="92"/>
      <c r="D42" s="92"/>
      <c r="E42" s="92"/>
      <c r="F42" s="476"/>
      <c r="G42" s="476"/>
      <c r="H42" s="92"/>
      <c r="I42" s="92"/>
      <c r="J42" s="92"/>
      <c r="K42" s="92"/>
      <c r="L42" s="92"/>
      <c r="M42" s="92"/>
      <c r="N42" s="92"/>
      <c r="O42" s="92"/>
      <c r="P42" s="92"/>
      <c r="Q42" s="92"/>
      <c r="R42" s="92"/>
      <c r="S42" s="92"/>
      <c r="T42" s="92"/>
      <c r="U42" s="84"/>
    </row>
    <row r="43" spans="2:21" ht="19.95" customHeight="1" x14ac:dyDescent="0.3">
      <c r="B43" s="396"/>
      <c r="C43" s="397"/>
      <c r="D43" s="397"/>
      <c r="E43" s="397"/>
      <c r="F43" s="390"/>
      <c r="G43" s="390"/>
      <c r="H43" s="397"/>
      <c r="I43" s="397"/>
      <c r="J43" s="397"/>
      <c r="K43" s="397"/>
      <c r="L43" s="397"/>
      <c r="M43" s="397"/>
      <c r="N43" s="397"/>
      <c r="O43" s="397"/>
      <c r="P43" s="397"/>
      <c r="Q43" s="397"/>
      <c r="R43" s="397"/>
      <c r="S43" s="397"/>
      <c r="T43" s="397"/>
      <c r="U43" s="399"/>
    </row>
    <row r="44" spans="2:21" x14ac:dyDescent="0.3">
      <c r="B44" s="195">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535</v>
      </c>
      <c r="AV2" s="237" t="s">
        <v>537</v>
      </c>
      <c r="AW2" s="238" t="s">
        <v>538</v>
      </c>
      <c r="AX2" s="239" t="s">
        <v>539</v>
      </c>
      <c r="AY2" s="239" t="s">
        <v>540</v>
      </c>
      <c r="AZ2" s="239" t="s">
        <v>541</v>
      </c>
      <c r="BA2" s="239" t="s">
        <v>542</v>
      </c>
      <c r="BB2" s="239" t="s">
        <v>543</v>
      </c>
      <c r="BC2" s="239" t="s">
        <v>544</v>
      </c>
      <c r="BD2" s="239" t="s">
        <v>545</v>
      </c>
      <c r="BE2" s="239" t="s">
        <v>546</v>
      </c>
      <c r="BF2" s="239" t="s">
        <v>547</v>
      </c>
      <c r="BG2" s="239" t="s">
        <v>548</v>
      </c>
      <c r="BH2" s="239" t="s">
        <v>549</v>
      </c>
      <c r="BI2" s="239" t="s">
        <v>550</v>
      </c>
      <c r="BJ2" s="239" t="s">
        <v>551</v>
      </c>
      <c r="BK2" s="239" t="s">
        <v>552</v>
      </c>
      <c r="BL2" s="239" t="s">
        <v>553</v>
      </c>
      <c r="BM2" s="239" t="s">
        <v>554</v>
      </c>
      <c r="BN2" s="239" t="s">
        <v>555</v>
      </c>
      <c r="BO2" s="239" t="s">
        <v>556</v>
      </c>
      <c r="BP2" s="239" t="s">
        <v>557</v>
      </c>
      <c r="BQ2" s="239" t="s">
        <v>558</v>
      </c>
      <c r="BR2" s="239" t="s">
        <v>559</v>
      </c>
      <c r="BT2" s="331" t="s">
        <v>612</v>
      </c>
      <c r="BU2" s="331" t="s">
        <v>613</v>
      </c>
      <c r="BV2" s="331" t="s">
        <v>623</v>
      </c>
      <c r="BW2" s="331" t="s">
        <v>614</v>
      </c>
      <c r="BX2" s="331" t="s">
        <v>615</v>
      </c>
      <c r="BY2" s="331" t="s">
        <v>616</v>
      </c>
      <c r="BZ2" s="331" t="s">
        <v>617</v>
      </c>
      <c r="CA2" s="331" t="s">
        <v>618</v>
      </c>
      <c r="CB2" s="331" t="s">
        <v>619</v>
      </c>
      <c r="CC2" s="331" t="s">
        <v>620</v>
      </c>
      <c r="CD2" s="331" t="s">
        <v>621</v>
      </c>
      <c r="CE2" s="331" t="s">
        <v>622</v>
      </c>
      <c r="CI2" s="83"/>
      <c r="CJ2" s="83"/>
      <c r="CK2" s="83"/>
      <c r="CL2" s="83"/>
      <c r="CM2" s="83"/>
      <c r="CN2" s="83"/>
      <c r="CO2" s="83"/>
    </row>
    <row r="3" spans="1:93" ht="18" x14ac:dyDescent="0.3">
      <c r="A3" s="83"/>
      <c r="B3" s="104"/>
      <c r="C3" s="1102" t="s">
        <v>270</v>
      </c>
      <c r="D3" s="1103"/>
      <c r="E3" s="1103"/>
      <c r="F3" s="1103"/>
      <c r="G3" s="1103"/>
      <c r="H3" s="1290" t="s">
        <v>229</v>
      </c>
      <c r="I3" s="1290"/>
      <c r="J3" s="105"/>
      <c r="K3" s="1102" t="s">
        <v>268</v>
      </c>
      <c r="L3" s="1103"/>
      <c r="M3" s="1103"/>
      <c r="N3" s="1103"/>
      <c r="O3" s="1103"/>
      <c r="P3" s="1103"/>
      <c r="Q3" s="1103"/>
      <c r="R3" s="1103"/>
      <c r="S3" s="1104"/>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669</v>
      </c>
      <c r="AV3" s="83" t="s">
        <v>569</v>
      </c>
      <c r="AW3" s="83" t="s">
        <v>569</v>
      </c>
      <c r="AX3" s="1" t="s">
        <v>85</v>
      </c>
      <c r="AY3" s="1" t="s">
        <v>569</v>
      </c>
      <c r="AZ3" s="1" t="s">
        <v>569</v>
      </c>
      <c r="BA3" s="1" t="s">
        <v>569</v>
      </c>
      <c r="BB3" s="1" t="s">
        <v>569</v>
      </c>
      <c r="BC3" s="1" t="s">
        <v>569</v>
      </c>
      <c r="BD3" s="83" t="s">
        <v>85</v>
      </c>
      <c r="BE3" s="83" t="str">
        <f>+BC3</f>
        <v>N/A</v>
      </c>
      <c r="BF3" s="83" t="s">
        <v>85</v>
      </c>
      <c r="BG3" s="83" t="s">
        <v>85</v>
      </c>
      <c r="BH3" s="83" t="s">
        <v>530</v>
      </c>
      <c r="BI3" s="83" t="str">
        <f>+BE3</f>
        <v>N/A</v>
      </c>
      <c r="BJ3" s="83" t="s">
        <v>564</v>
      </c>
      <c r="BK3" s="83" t="s">
        <v>569</v>
      </c>
      <c r="BL3" s="83" t="str">
        <f>+BI3</f>
        <v>N/A</v>
      </c>
      <c r="BM3" s="83" t="s">
        <v>569</v>
      </c>
      <c r="BN3" s="83" t="s">
        <v>564</v>
      </c>
      <c r="BO3" s="235" t="s">
        <v>85</v>
      </c>
      <c r="BP3" s="83" t="s">
        <v>85</v>
      </c>
      <c r="BQ3" s="83" t="s">
        <v>85</v>
      </c>
      <c r="BR3" s="83" t="s">
        <v>226</v>
      </c>
      <c r="BT3" s="83" t="s">
        <v>530</v>
      </c>
      <c r="BU3" s="83" t="s">
        <v>530</v>
      </c>
      <c r="BV3" s="83" t="s">
        <v>530</v>
      </c>
      <c r="BW3" s="83" t="s">
        <v>530</v>
      </c>
      <c r="BX3" s="83" t="s">
        <v>530</v>
      </c>
      <c r="BY3" s="83" t="s">
        <v>530</v>
      </c>
      <c r="BZ3" s="83" t="s">
        <v>530</v>
      </c>
      <c r="CA3" s="83" t="s">
        <v>530</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1307"/>
      <c r="L4" s="1307"/>
      <c r="M4" s="1307"/>
      <c r="N4" s="1307"/>
      <c r="O4" s="1307"/>
      <c r="P4" s="1307"/>
      <c r="Q4" s="1307"/>
      <c r="R4" s="1307"/>
      <c r="S4" s="1307"/>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520</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528</v>
      </c>
      <c r="BF4" s="83" t="s">
        <v>86</v>
      </c>
      <c r="BG4" s="83" t="s">
        <v>192</v>
      </c>
      <c r="BH4" s="83" t="s">
        <v>562</v>
      </c>
      <c r="BJ4" s="83" t="s">
        <v>85</v>
      </c>
      <c r="BN4" s="83" t="s">
        <v>85</v>
      </c>
      <c r="BO4" s="235" t="s">
        <v>132</v>
      </c>
      <c r="BP4" s="83" t="s">
        <v>188</v>
      </c>
      <c r="BQ4" s="83" t="s">
        <v>87</v>
      </c>
      <c r="BR4" s="83" t="s">
        <v>227</v>
      </c>
      <c r="BT4" s="83" t="s">
        <v>562</v>
      </c>
      <c r="BU4" s="83" t="s">
        <v>562</v>
      </c>
      <c r="BV4" s="83" t="s">
        <v>562</v>
      </c>
      <c r="BW4" s="83" t="s">
        <v>562</v>
      </c>
      <c r="BX4" s="83" t="s">
        <v>562</v>
      </c>
      <c r="BY4" s="83" t="s">
        <v>562</v>
      </c>
      <c r="BZ4" s="83" t="s">
        <v>562</v>
      </c>
      <c r="CA4" s="83" t="s">
        <v>562</v>
      </c>
      <c r="CB4" s="83" t="s">
        <v>132</v>
      </c>
      <c r="CC4" s="83" t="s">
        <v>132</v>
      </c>
      <c r="CD4" s="83" t="s">
        <v>132</v>
      </c>
      <c r="CE4" s="83" t="s">
        <v>142</v>
      </c>
      <c r="CI4" s="83"/>
      <c r="CJ4" s="83"/>
      <c r="CK4" s="83"/>
      <c r="CL4" s="83"/>
      <c r="CM4" s="83"/>
      <c r="CN4" s="83"/>
      <c r="CO4" s="83"/>
    </row>
    <row r="5" spans="1:93" ht="18" x14ac:dyDescent="0.35">
      <c r="A5" s="83"/>
      <c r="B5" s="104"/>
      <c r="C5" s="105"/>
      <c r="D5" s="1308" t="s">
        <v>693</v>
      </c>
      <c r="E5" s="1309"/>
      <c r="F5" s="105"/>
      <c r="G5" s="105"/>
      <c r="H5" s="1308" t="s">
        <v>267</v>
      </c>
      <c r="I5" s="1309"/>
      <c r="J5" s="105"/>
      <c r="K5" s="1310" t="s">
        <v>708</v>
      </c>
      <c r="L5" s="1311"/>
      <c r="M5" s="1311"/>
      <c r="N5" s="1311"/>
      <c r="O5" s="1311"/>
      <c r="P5" s="1311"/>
      <c r="Q5" s="1311"/>
      <c r="R5" s="1311"/>
      <c r="S5" s="1312"/>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532</v>
      </c>
      <c r="BJ5" s="83" t="s">
        <v>132</v>
      </c>
      <c r="BN5" s="83" t="s">
        <v>132</v>
      </c>
      <c r="BO5" s="235" t="s">
        <v>186</v>
      </c>
      <c r="BP5" s="83" t="s">
        <v>87</v>
      </c>
      <c r="BQ5" s="83" t="s">
        <v>567</v>
      </c>
      <c r="BR5" s="83" t="s">
        <v>228</v>
      </c>
      <c r="BT5" s="83" t="s">
        <v>532</v>
      </c>
      <c r="BU5" s="83" t="s">
        <v>532</v>
      </c>
      <c r="BV5" s="83" t="s">
        <v>532</v>
      </c>
      <c r="BW5" s="83" t="s">
        <v>532</v>
      </c>
      <c r="BX5" s="83" t="s">
        <v>532</v>
      </c>
      <c r="BY5" s="83" t="s">
        <v>532</v>
      </c>
      <c r="BZ5" s="83" t="s">
        <v>532</v>
      </c>
      <c r="CA5" s="83" t="s">
        <v>532</v>
      </c>
      <c r="CB5" s="83" t="s">
        <v>87</v>
      </c>
      <c r="CC5" s="83" t="s">
        <v>87</v>
      </c>
      <c r="CD5" s="83" t="s">
        <v>87</v>
      </c>
      <c r="CE5" s="83" t="s">
        <v>87</v>
      </c>
      <c r="CI5" s="83"/>
      <c r="CJ5" s="83"/>
      <c r="CK5" s="83"/>
      <c r="CL5" s="83"/>
      <c r="CM5" s="83"/>
      <c r="CN5" s="83"/>
      <c r="CO5" s="83"/>
    </row>
    <row r="6" spans="1:93" ht="15.6" x14ac:dyDescent="0.3">
      <c r="A6" s="83"/>
      <c r="B6" s="104"/>
      <c r="C6" s="1140" t="s">
        <v>495</v>
      </c>
      <c r="D6" s="638" t="s">
        <v>707</v>
      </c>
      <c r="E6" s="649" t="s">
        <v>692</v>
      </c>
      <c r="F6" s="105"/>
      <c r="G6" s="105"/>
      <c r="H6" s="85"/>
      <c r="I6" s="114" t="s">
        <v>262</v>
      </c>
      <c r="J6" s="105"/>
      <c r="K6" s="1313"/>
      <c r="L6" s="1314"/>
      <c r="M6" s="1314"/>
      <c r="N6" s="1314"/>
      <c r="O6" s="1314"/>
      <c r="P6" s="1314"/>
      <c r="Q6" s="1314"/>
      <c r="R6" s="1314"/>
      <c r="S6" s="1315"/>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474</v>
      </c>
      <c r="BJ6" s="83" t="s">
        <v>87</v>
      </c>
      <c r="BN6" s="83" t="s">
        <v>87</v>
      </c>
      <c r="BO6" s="235" t="s">
        <v>187</v>
      </c>
      <c r="BP6" s="83" t="s">
        <v>565</v>
      </c>
      <c r="BQ6" s="83" t="s">
        <v>568</v>
      </c>
      <c r="BT6" s="83" t="s">
        <v>560</v>
      </c>
      <c r="BU6" s="83" t="s">
        <v>560</v>
      </c>
      <c r="BV6" s="83" t="s">
        <v>560</v>
      </c>
      <c r="BW6" s="83" t="s">
        <v>560</v>
      </c>
      <c r="BX6" s="83" t="s">
        <v>560</v>
      </c>
      <c r="BY6" s="83" t="s">
        <v>560</v>
      </c>
      <c r="BZ6" s="83" t="s">
        <v>560</v>
      </c>
      <c r="CA6" s="83" t="s">
        <v>560</v>
      </c>
      <c r="CB6" s="83" t="s">
        <v>133</v>
      </c>
      <c r="CC6" s="83" t="s">
        <v>133</v>
      </c>
      <c r="CD6" s="83" t="s">
        <v>133</v>
      </c>
      <c r="CI6" s="83"/>
      <c r="CJ6" s="83"/>
      <c r="CK6" s="83"/>
      <c r="CL6" s="83"/>
      <c r="CM6" s="83"/>
      <c r="CN6" s="83"/>
      <c r="CO6" s="83"/>
    </row>
    <row r="7" spans="1:93" ht="15.6" x14ac:dyDescent="0.3">
      <c r="A7" s="83"/>
      <c r="B7" s="104"/>
      <c r="C7" s="1141"/>
      <c r="D7" s="91"/>
      <c r="E7" s="646"/>
      <c r="F7" s="105"/>
      <c r="G7" s="105"/>
      <c r="H7" s="96"/>
      <c r="I7" s="114" t="s">
        <v>263</v>
      </c>
      <c r="J7" s="105"/>
      <c r="K7" s="1313"/>
      <c r="L7" s="1314"/>
      <c r="M7" s="1314"/>
      <c r="N7" s="1314"/>
      <c r="O7" s="1314"/>
      <c r="P7" s="1314"/>
      <c r="Q7" s="1314"/>
      <c r="R7" s="1314"/>
      <c r="S7" s="1315"/>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560</v>
      </c>
      <c r="BJ7" s="83" t="s">
        <v>133</v>
      </c>
      <c r="BN7" s="83" t="s">
        <v>133</v>
      </c>
      <c r="BO7" s="235" t="s">
        <v>87</v>
      </c>
      <c r="BP7" s="83" t="s">
        <v>133</v>
      </c>
      <c r="BT7" s="83" t="s">
        <v>485</v>
      </c>
      <c r="BU7" s="83" t="s">
        <v>485</v>
      </c>
      <c r="BV7" s="83" t="s">
        <v>485</v>
      </c>
      <c r="BW7" s="83" t="s">
        <v>485</v>
      </c>
      <c r="BX7" s="83" t="s">
        <v>485</v>
      </c>
      <c r="BY7" s="83" t="s">
        <v>485</v>
      </c>
      <c r="BZ7" s="83" t="s">
        <v>485</v>
      </c>
      <c r="CA7" s="83" t="s">
        <v>485</v>
      </c>
      <c r="CB7" s="83" t="s">
        <v>134</v>
      </c>
      <c r="CC7" s="83" t="s">
        <v>134</v>
      </c>
      <c r="CD7" s="83" t="s">
        <v>134</v>
      </c>
      <c r="CI7" s="83"/>
      <c r="CJ7" s="83"/>
      <c r="CK7" s="83"/>
      <c r="CL7" s="83"/>
      <c r="CM7" s="83"/>
      <c r="CN7" s="83"/>
      <c r="CO7" s="83"/>
    </row>
    <row r="8" spans="1:93" ht="15.6" x14ac:dyDescent="0.3">
      <c r="A8" s="83"/>
      <c r="B8" s="104"/>
      <c r="C8" s="1119"/>
      <c r="D8" s="645"/>
      <c r="E8" s="646"/>
      <c r="F8" s="105"/>
      <c r="G8" s="105"/>
      <c r="H8" s="95"/>
      <c r="I8" s="115" t="s">
        <v>264</v>
      </c>
      <c r="J8" s="105"/>
      <c r="K8" s="1313"/>
      <c r="L8" s="1314"/>
      <c r="M8" s="1314"/>
      <c r="N8" s="1314"/>
      <c r="O8" s="1314"/>
      <c r="P8" s="1314"/>
      <c r="Q8" s="1314"/>
      <c r="R8" s="1314"/>
      <c r="S8" s="1315"/>
      <c r="T8" s="106"/>
      <c r="U8" s="104"/>
      <c r="V8" s="105"/>
      <c r="W8" s="83" t="s">
        <v>518</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485</v>
      </c>
      <c r="BJ8" s="83" t="s">
        <v>134</v>
      </c>
      <c r="BN8" s="83" t="s">
        <v>134</v>
      </c>
      <c r="BO8" s="235" t="s">
        <v>188</v>
      </c>
      <c r="BP8" s="83" t="s">
        <v>191</v>
      </c>
      <c r="BT8" s="83" t="s">
        <v>561</v>
      </c>
      <c r="BU8" s="83" t="s">
        <v>561</v>
      </c>
      <c r="BV8" s="83" t="s">
        <v>561</v>
      </c>
      <c r="BW8" s="83" t="s">
        <v>561</v>
      </c>
      <c r="BX8" s="83" t="s">
        <v>561</v>
      </c>
      <c r="BY8" s="83" t="s">
        <v>561</v>
      </c>
      <c r="BZ8" s="83" t="s">
        <v>561</v>
      </c>
      <c r="CA8" s="83" t="s">
        <v>561</v>
      </c>
      <c r="CH8" s="1295" t="s">
        <v>668</v>
      </c>
      <c r="CI8" s="1296"/>
      <c r="CJ8" s="1296"/>
      <c r="CK8" s="1296"/>
      <c r="CL8" s="1296"/>
      <c r="CM8" s="1297"/>
      <c r="CN8" s="83"/>
      <c r="CO8" s="83"/>
    </row>
    <row r="9" spans="1:93" ht="15.6" x14ac:dyDescent="0.3">
      <c r="A9" s="83"/>
      <c r="B9" s="104"/>
      <c r="C9" s="1120"/>
      <c r="D9" s="647"/>
      <c r="E9" s="648"/>
      <c r="F9" s="105"/>
      <c r="G9" s="105"/>
      <c r="H9" s="110"/>
      <c r="I9" s="111" t="s">
        <v>268</v>
      </c>
      <c r="J9" s="105"/>
      <c r="K9" s="1316"/>
      <c r="L9" s="1317"/>
      <c r="M9" s="1317"/>
      <c r="N9" s="1317"/>
      <c r="O9" s="1317"/>
      <c r="P9" s="1317"/>
      <c r="Q9" s="1317"/>
      <c r="R9" s="1317"/>
      <c r="S9" s="1318"/>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561</v>
      </c>
      <c r="BO9" s="235" t="s">
        <v>189</v>
      </c>
      <c r="BP9" s="83" t="s">
        <v>566</v>
      </c>
      <c r="BT9" s="83" t="s">
        <v>563</v>
      </c>
      <c r="BU9" s="83" t="s">
        <v>563</v>
      </c>
      <c r="BV9" s="83" t="s">
        <v>563</v>
      </c>
      <c r="BW9" s="83" t="s">
        <v>563</v>
      </c>
      <c r="BX9" s="83" t="s">
        <v>563</v>
      </c>
      <c r="BY9" s="83" t="s">
        <v>563</v>
      </c>
      <c r="BZ9" s="83" t="s">
        <v>563</v>
      </c>
      <c r="CA9" s="83" t="s">
        <v>563</v>
      </c>
      <c r="CH9" s="1298"/>
      <c r="CI9" s="1299"/>
      <c r="CJ9" s="1299"/>
      <c r="CK9" s="1299"/>
      <c r="CL9" s="1299"/>
      <c r="CM9" s="1300"/>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563</v>
      </c>
      <c r="BO10" s="235" t="s">
        <v>190</v>
      </c>
      <c r="BT10" s="83" t="s">
        <v>531</v>
      </c>
      <c r="BU10" s="83" t="s">
        <v>531</v>
      </c>
      <c r="BV10" s="83" t="s">
        <v>531</v>
      </c>
      <c r="BW10" s="83" t="s">
        <v>531</v>
      </c>
      <c r="BX10" s="83" t="s">
        <v>531</v>
      </c>
      <c r="BY10" s="83" t="s">
        <v>531</v>
      </c>
      <c r="BZ10" s="83" t="s">
        <v>531</v>
      </c>
      <c r="CA10" s="83" t="s">
        <v>531</v>
      </c>
      <c r="CI10" s="83"/>
      <c r="CJ10" s="83"/>
      <c r="CK10" s="83"/>
      <c r="CL10" s="83"/>
      <c r="CM10" s="83"/>
      <c r="CN10" s="83"/>
      <c r="CO10" s="83"/>
    </row>
    <row r="11" spans="1:93" ht="18" x14ac:dyDescent="0.3">
      <c r="A11" s="83"/>
      <c r="B11" s="104"/>
      <c r="C11" s="105"/>
      <c r="D11" s="1102" t="s">
        <v>510</v>
      </c>
      <c r="E11" s="1103"/>
      <c r="F11" s="1103"/>
      <c r="G11" s="1103"/>
      <c r="H11" s="1103"/>
      <c r="I11" s="1103"/>
      <c r="J11" s="1103"/>
      <c r="K11" s="1103"/>
      <c r="L11" s="1104"/>
      <c r="M11" s="1102" t="s">
        <v>511</v>
      </c>
      <c r="N11" s="1103"/>
      <c r="O11" s="1103"/>
      <c r="P11" s="1103"/>
      <c r="Q11" s="1104"/>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531</v>
      </c>
      <c r="BO11" s="235" t="s">
        <v>134</v>
      </c>
      <c r="BT11" s="83" t="s">
        <v>474</v>
      </c>
      <c r="BU11" s="83" t="s">
        <v>474</v>
      </c>
      <c r="BV11" s="83" t="s">
        <v>474</v>
      </c>
      <c r="BW11" s="83" t="s">
        <v>474</v>
      </c>
      <c r="BX11" s="83" t="s">
        <v>474</v>
      </c>
      <c r="BY11" s="83" t="s">
        <v>474</v>
      </c>
      <c r="BZ11" s="83" t="s">
        <v>474</v>
      </c>
      <c r="CA11" s="83" t="s">
        <v>474</v>
      </c>
      <c r="CI11" s="83"/>
      <c r="CJ11" s="83"/>
      <c r="CK11" s="83"/>
      <c r="CL11" s="83"/>
      <c r="CM11" s="83"/>
      <c r="CN11" s="83"/>
      <c r="CO11" s="83"/>
    </row>
    <row r="12" spans="1:93" ht="18" x14ac:dyDescent="0.3">
      <c r="A12" s="83"/>
      <c r="B12" s="104"/>
      <c r="C12" s="88" t="s">
        <v>239</v>
      </c>
      <c r="D12" s="300" t="s">
        <v>229</v>
      </c>
      <c r="E12" s="300" t="s">
        <v>348</v>
      </c>
      <c r="F12" s="262" t="s">
        <v>234</v>
      </c>
      <c r="G12" s="262" t="s">
        <v>475</v>
      </c>
      <c r="H12" s="264" t="s">
        <v>235</v>
      </c>
      <c r="I12" s="300" t="s">
        <v>236</v>
      </c>
      <c r="J12" s="263" t="s">
        <v>341</v>
      </c>
      <c r="K12" s="262" t="s">
        <v>340</v>
      </c>
      <c r="L12" s="262" t="s">
        <v>534</v>
      </c>
      <c r="M12" s="264" t="s">
        <v>230</v>
      </c>
      <c r="N12" s="264" t="s">
        <v>231</v>
      </c>
      <c r="O12" s="264" t="s">
        <v>533</v>
      </c>
      <c r="P12" s="264" t="s">
        <v>225</v>
      </c>
      <c r="Q12" s="263"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301"/>
      <c r="D13" s="267" t="s">
        <v>512</v>
      </c>
      <c r="E13" s="267" t="s">
        <v>7</v>
      </c>
      <c r="F13" s="294">
        <v>1</v>
      </c>
      <c r="G13" s="294" t="s">
        <v>354</v>
      </c>
      <c r="H13" s="294" t="s">
        <v>471</v>
      </c>
      <c r="I13" s="294" t="s">
        <v>354</v>
      </c>
      <c r="J13" s="294" t="str">
        <f>+IF(F13&gt;'Equipment Data'!$G$4,"yes","No")</f>
        <v>No</v>
      </c>
      <c r="K13" s="294">
        <v>0.67</v>
      </c>
      <c r="L13" s="294" t="s">
        <v>354</v>
      </c>
      <c r="M13" s="172">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4" t="s">
        <v>354</v>
      </c>
      <c r="O13" s="294" t="s">
        <v>354</v>
      </c>
      <c r="P13" s="168">
        <f>+'Equipment Data'!$H$4</f>
        <v>1.1200000000000001</v>
      </c>
      <c r="Q13" s="169">
        <f>+M13*P13</f>
        <v>115695.91434724194</v>
      </c>
      <c r="R13" s="305"/>
      <c r="S13" s="306"/>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2"/>
      <c r="D14" s="267" t="s">
        <v>512</v>
      </c>
      <c r="E14" s="267" t="s">
        <v>8</v>
      </c>
      <c r="F14" s="294">
        <v>1</v>
      </c>
      <c r="G14" s="294" t="s">
        <v>354</v>
      </c>
      <c r="H14" s="294" t="s">
        <v>471</v>
      </c>
      <c r="I14" s="294" t="s">
        <v>354</v>
      </c>
      <c r="J14" s="294" t="str">
        <f>+IF(F14&gt;'Equipment Data'!$G$5,"yes","No")</f>
        <v>No</v>
      </c>
      <c r="K14" s="294">
        <v>0.67</v>
      </c>
      <c r="L14" s="294" t="s">
        <v>354</v>
      </c>
      <c r="M14" s="172">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4" t="s">
        <v>354</v>
      </c>
      <c r="O14" s="294" t="s">
        <v>354</v>
      </c>
      <c r="P14" s="168">
        <f>+'Equipment Data'!$H$5</f>
        <v>1.1200000000000001</v>
      </c>
      <c r="Q14" s="169">
        <f t="shared" ref="Q14:Q34" si="0">+M14*P14</f>
        <v>15339.740849225012</v>
      </c>
      <c r="R14" s="307"/>
      <c r="S14" s="308"/>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3"/>
      <c r="D15" s="267" t="s">
        <v>512</v>
      </c>
      <c r="E15" s="267" t="s">
        <v>513</v>
      </c>
      <c r="F15" s="294">
        <v>1</v>
      </c>
      <c r="G15" s="294" t="s">
        <v>354</v>
      </c>
      <c r="H15" s="294" t="s">
        <v>471</v>
      </c>
      <c r="I15" s="294" t="s">
        <v>354</v>
      </c>
      <c r="J15" s="294" t="str">
        <f>+IF(F15&gt;'Equipment Data'!$G$6,"yes","No")</f>
        <v>No</v>
      </c>
      <c r="K15" s="294">
        <v>0.67</v>
      </c>
      <c r="L15" s="294" t="s">
        <v>354</v>
      </c>
      <c r="M15" s="172">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4" t="s">
        <v>354</v>
      </c>
      <c r="O15" s="167" t="s">
        <v>354</v>
      </c>
      <c r="P15" s="168">
        <f>+'Equipment Data'!$H$6</f>
        <v>1.1200000000000001</v>
      </c>
      <c r="Q15" s="169">
        <f t="shared" si="0"/>
        <v>15339.740849225012</v>
      </c>
      <c r="R15" s="309"/>
      <c r="S15" s="310"/>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7" t="s">
        <v>514</v>
      </c>
      <c r="E16" s="267" t="s">
        <v>515</v>
      </c>
      <c r="F16" s="294">
        <v>1</v>
      </c>
      <c r="G16" s="294" t="s">
        <v>354</v>
      </c>
      <c r="H16" s="294" t="s">
        <v>353</v>
      </c>
      <c r="I16" s="294" t="s">
        <v>354</v>
      </c>
      <c r="J16" s="294" t="str">
        <f>+IF(F16&gt;'Equipment Data'!$G$11,"yes","No")</f>
        <v>No</v>
      </c>
      <c r="K16" s="294">
        <v>0.67</v>
      </c>
      <c r="L16" s="294" t="s">
        <v>354</v>
      </c>
      <c r="M16" s="172">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4" t="s">
        <v>354</v>
      </c>
      <c r="O16" s="297" t="s">
        <v>354</v>
      </c>
      <c r="P16" s="168">
        <f>+'Equipment Data'!$H$11</f>
        <v>1.57</v>
      </c>
      <c r="Q16" s="169">
        <f t="shared" si="0"/>
        <v>92044.883506491591</v>
      </c>
      <c r="R16" s="298"/>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7" t="s">
        <v>514</v>
      </c>
      <c r="E17" s="267" t="s">
        <v>516</v>
      </c>
      <c r="F17" s="294">
        <v>1</v>
      </c>
      <c r="G17" s="294" t="s">
        <v>354</v>
      </c>
      <c r="H17" s="294" t="s">
        <v>353</v>
      </c>
      <c r="I17" s="294" t="s">
        <v>354</v>
      </c>
      <c r="J17" s="294" t="str">
        <f>+IF(F17&gt;'Equipment Data'!$G$12,"yes","No")</f>
        <v>No</v>
      </c>
      <c r="K17" s="294">
        <v>0.67</v>
      </c>
      <c r="L17" s="294" t="s">
        <v>354</v>
      </c>
      <c r="M17" s="172">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4" t="s">
        <v>354</v>
      </c>
      <c r="O17" s="297" t="s">
        <v>354</v>
      </c>
      <c r="P17" s="168">
        <f>+'Equipment Data'!$H$12</f>
        <v>1.57</v>
      </c>
      <c r="Q17" s="169">
        <f t="shared" si="0"/>
        <v>36066.139022386218</v>
      </c>
      <c r="R17" s="295"/>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7" t="s">
        <v>514</v>
      </c>
      <c r="E18" s="267" t="s">
        <v>15</v>
      </c>
      <c r="F18" s="294">
        <v>1</v>
      </c>
      <c r="G18" s="294" t="s">
        <v>354</v>
      </c>
      <c r="H18" s="294" t="s">
        <v>353</v>
      </c>
      <c r="I18" s="294" t="s">
        <v>354</v>
      </c>
      <c r="J18" s="294" t="str">
        <f>+IF(F18&gt;'Equipment Data'!$G$13,"yes","No")</f>
        <v>No</v>
      </c>
      <c r="K18" s="294">
        <v>0.67</v>
      </c>
      <c r="L18" s="294" t="s">
        <v>354</v>
      </c>
      <c r="M18" s="172">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4" t="s">
        <v>354</v>
      </c>
      <c r="O18" s="167" t="s">
        <v>354</v>
      </c>
      <c r="P18" s="168">
        <f>+'Equipment Data'!$H$13</f>
        <v>1.57</v>
      </c>
      <c r="Q18" s="169">
        <f t="shared" si="0"/>
        <v>113736.44573177362</v>
      </c>
      <c r="R18" s="295"/>
      <c r="S18" s="217"/>
      <c r="T18" s="106"/>
      <c r="U18" s="104"/>
      <c r="V18" s="105"/>
      <c r="W18" s="83" t="s">
        <v>255</v>
      </c>
      <c r="X18" s="83"/>
      <c r="AW18" s="1"/>
      <c r="CI18" s="83"/>
      <c r="CJ18" s="83"/>
      <c r="CK18" s="83"/>
      <c r="CL18" s="83"/>
      <c r="CM18" s="83"/>
      <c r="CN18" s="83"/>
      <c r="CO18" s="83"/>
    </row>
    <row r="19" spans="1:93" x14ac:dyDescent="0.3">
      <c r="A19" s="83"/>
      <c r="B19" s="104"/>
      <c r="C19" s="216"/>
      <c r="D19" s="267" t="s">
        <v>514</v>
      </c>
      <c r="E19" s="267" t="s">
        <v>16</v>
      </c>
      <c r="F19" s="294">
        <v>1</v>
      </c>
      <c r="G19" s="294" t="s">
        <v>354</v>
      </c>
      <c r="H19" s="294" t="s">
        <v>353</v>
      </c>
      <c r="I19" s="294" t="s">
        <v>354</v>
      </c>
      <c r="J19" s="294" t="str">
        <f>+IF(F19&gt;'Equipment Data'!$G$14,"yes","No")</f>
        <v>No</v>
      </c>
      <c r="K19" s="294">
        <v>0.67</v>
      </c>
      <c r="L19" s="294" t="s">
        <v>354</v>
      </c>
      <c r="M19" s="172">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4" t="s">
        <v>354</v>
      </c>
      <c r="O19" s="167" t="s">
        <v>354</v>
      </c>
      <c r="P19" s="168">
        <f>+'Equipment Data'!$H$14</f>
        <v>1.27</v>
      </c>
      <c r="Q19" s="169">
        <f t="shared" si="0"/>
        <v>118441.45148013598</v>
      </c>
      <c r="R19" s="296"/>
      <c r="S19" s="225"/>
      <c r="T19" s="106"/>
      <c r="U19" s="104"/>
      <c r="V19" s="105"/>
      <c r="W19" s="83" t="s">
        <v>256</v>
      </c>
      <c r="X19" s="83"/>
      <c r="AW19" s="1"/>
      <c r="CI19" s="83"/>
      <c r="CJ19" s="83"/>
      <c r="CK19" s="83"/>
      <c r="CL19" s="83"/>
      <c r="CM19" s="83"/>
      <c r="CN19" s="83"/>
      <c r="CO19" s="83"/>
    </row>
    <row r="20" spans="1:93" x14ac:dyDescent="0.3">
      <c r="A20" s="83"/>
      <c r="B20" s="104"/>
      <c r="C20" s="301"/>
      <c r="D20" s="267" t="s">
        <v>261</v>
      </c>
      <c r="E20" s="267" t="s">
        <v>23</v>
      </c>
      <c r="F20" s="294">
        <v>1</v>
      </c>
      <c r="G20" s="294" t="s">
        <v>354</v>
      </c>
      <c r="H20" s="294" t="s">
        <v>473</v>
      </c>
      <c r="I20" s="294" t="s">
        <v>85</v>
      </c>
      <c r="J20" s="294" t="str">
        <f>+IF(F20&gt;'Equipment Data'!$J$19,"yes","No")</f>
        <v>No</v>
      </c>
      <c r="K20" s="294">
        <v>0.67</v>
      </c>
      <c r="L20" s="294" t="s">
        <v>354</v>
      </c>
      <c r="M20" s="172">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4" t="s">
        <v>354</v>
      </c>
      <c r="O20" s="297" t="s">
        <v>354</v>
      </c>
      <c r="P20" s="168">
        <f>+IF(I20="CS",'Equipment Data'!$F$19,IF(I20="SS",'Equipment Data'!$G$19,IF(I20="Ni",'Equipment Data'!$H$19,"N/A")))</f>
        <v>2.74</v>
      </c>
      <c r="Q20" s="169">
        <f t="shared" si="0"/>
        <v>533.15141088122277</v>
      </c>
      <c r="R20" s="305"/>
      <c r="S20" s="311"/>
      <c r="T20" s="106"/>
      <c r="U20" s="104"/>
      <c r="V20" s="105"/>
      <c r="W20" s="83" t="s">
        <v>257</v>
      </c>
      <c r="X20" s="83"/>
      <c r="AW20" s="1"/>
      <c r="CI20" s="83"/>
      <c r="CJ20" s="83"/>
      <c r="CK20" s="83"/>
      <c r="CL20" s="83"/>
      <c r="CM20" s="83"/>
      <c r="CN20" s="83"/>
      <c r="CO20" s="83"/>
    </row>
    <row r="21" spans="1:93" x14ac:dyDescent="0.3">
      <c r="A21" s="83"/>
      <c r="B21" s="104"/>
      <c r="C21" s="302"/>
      <c r="D21" s="233" t="s">
        <v>261</v>
      </c>
      <c r="E21" s="267" t="s">
        <v>24</v>
      </c>
      <c r="F21" s="294">
        <v>1</v>
      </c>
      <c r="G21" s="294" t="s">
        <v>354</v>
      </c>
      <c r="H21" s="294" t="s">
        <v>473</v>
      </c>
      <c r="I21" s="294" t="s">
        <v>85</v>
      </c>
      <c r="J21" s="294" t="str">
        <f>+IF(F21&gt;'Equipment Data'!$J$20,"yes","No")</f>
        <v>No</v>
      </c>
      <c r="K21" s="294">
        <v>0.67</v>
      </c>
      <c r="L21" s="294" t="s">
        <v>354</v>
      </c>
      <c r="M21" s="172">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4" t="s">
        <v>354</v>
      </c>
      <c r="O21" s="294" t="s">
        <v>354</v>
      </c>
      <c r="P21" s="168">
        <f>+IF(I21="CS",'Equipment Data'!$F$20,IF(I21="SS",'Equipment Data'!$G$20,IF(I21="Ni",'Equipment Data'!$H$20,"N/A")))</f>
        <v>3.83</v>
      </c>
      <c r="Q21" s="169">
        <f t="shared" si="0"/>
        <v>745.24449039236606</v>
      </c>
      <c r="R21" s="307"/>
      <c r="S21" s="312"/>
      <c r="T21" s="106"/>
      <c r="U21" s="105"/>
      <c r="V21" s="105"/>
      <c r="W21" s="83" t="s">
        <v>148</v>
      </c>
      <c r="X21" s="83"/>
      <c r="AW21" s="1"/>
      <c r="CI21" s="83"/>
      <c r="CJ21" s="83"/>
      <c r="CK21" s="83"/>
      <c r="CL21" s="83"/>
      <c r="CM21" s="83"/>
      <c r="CN21" s="83"/>
      <c r="CO21" s="83"/>
    </row>
    <row r="22" spans="1:93" x14ac:dyDescent="0.3">
      <c r="A22" s="83"/>
      <c r="B22" s="104"/>
      <c r="C22" s="302"/>
      <c r="D22" s="267" t="s">
        <v>261</v>
      </c>
      <c r="E22" s="267" t="s">
        <v>513</v>
      </c>
      <c r="F22" s="294">
        <v>1</v>
      </c>
      <c r="G22" s="294" t="s">
        <v>354</v>
      </c>
      <c r="H22" s="294" t="s">
        <v>473</v>
      </c>
      <c r="I22" s="294" t="s">
        <v>85</v>
      </c>
      <c r="J22" s="294" t="str">
        <f>+IF(F22&gt;'Equipment Data'!$J$21,"yes","No")</f>
        <v>No</v>
      </c>
      <c r="K22" s="294">
        <v>0.67</v>
      </c>
      <c r="L22" s="294" t="s">
        <v>354</v>
      </c>
      <c r="M22" s="172">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4" t="s">
        <v>354</v>
      </c>
      <c r="O22" s="294" t="s">
        <v>354</v>
      </c>
      <c r="P22" s="168">
        <f>+IF(I22="CS",'Equipment Data'!$F$21,IF(I22="SS",'Equipment Data'!$G$21,IF(I22="Ni",'Equipment Data'!$H$21,"N/A")))</f>
        <v>2.41</v>
      </c>
      <c r="Q22" s="169">
        <f t="shared" si="0"/>
        <v>261527.30746150017</v>
      </c>
      <c r="R22" s="307"/>
      <c r="S22" s="312"/>
      <c r="T22" s="106"/>
      <c r="U22" s="105"/>
      <c r="V22" s="105"/>
      <c r="W22" s="83" t="s">
        <v>259</v>
      </c>
      <c r="X22" s="83"/>
      <c r="AW22" s="1"/>
      <c r="CI22" s="83"/>
      <c r="CJ22" s="83"/>
      <c r="CK22" s="83"/>
      <c r="CL22" s="83"/>
      <c r="CM22" s="83"/>
      <c r="CN22" s="83"/>
      <c r="CO22" s="83"/>
    </row>
    <row r="23" spans="1:93" x14ac:dyDescent="0.3">
      <c r="A23" s="83"/>
      <c r="B23" s="104"/>
      <c r="C23" s="302"/>
      <c r="D23" s="267" t="s">
        <v>261</v>
      </c>
      <c r="E23" s="267" t="s">
        <v>25</v>
      </c>
      <c r="F23" s="294">
        <v>1</v>
      </c>
      <c r="G23" s="294" t="s">
        <v>354</v>
      </c>
      <c r="H23" s="294" t="s">
        <v>473</v>
      </c>
      <c r="I23" s="294" t="s">
        <v>85</v>
      </c>
      <c r="J23" s="294" t="str">
        <f>+IF(F23&gt;'Equipment Data'!$J$22,"yes","No")</f>
        <v>No</v>
      </c>
      <c r="K23" s="294">
        <v>0.67</v>
      </c>
      <c r="L23" s="294" t="s">
        <v>354</v>
      </c>
      <c r="M23" s="172">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4" t="s">
        <v>354</v>
      </c>
      <c r="O23" s="294" t="s">
        <v>354</v>
      </c>
      <c r="P23" s="168">
        <f>+IF(I23="CS",'Equipment Data'!$F$22,IF(I23="SS",'Equipment Data'!$G$22,IF(I23="Ni",'Equipment Data'!$H$22,"N/A")))</f>
        <v>3.37</v>
      </c>
      <c r="Q23" s="169">
        <f t="shared" si="0"/>
        <v>655.7373192225258</v>
      </c>
      <c r="R23" s="307"/>
      <c r="S23" s="312"/>
      <c r="T23" s="106"/>
      <c r="U23" s="105"/>
      <c r="V23" s="105"/>
      <c r="W23" s="83" t="s">
        <v>260</v>
      </c>
      <c r="X23" s="83"/>
      <c r="AW23" s="1"/>
      <c r="CI23" s="83"/>
      <c r="CJ23" s="83"/>
      <c r="CK23" s="83"/>
      <c r="CL23" s="83"/>
      <c r="CM23" s="83"/>
      <c r="CN23" s="83"/>
      <c r="CO23" s="83"/>
    </row>
    <row r="24" spans="1:93" x14ac:dyDescent="0.3">
      <c r="A24" s="83"/>
      <c r="B24" s="104"/>
      <c r="C24" s="218"/>
      <c r="D24" s="267" t="s">
        <v>243</v>
      </c>
      <c r="E24" s="267" t="s">
        <v>29</v>
      </c>
      <c r="F24" s="294">
        <v>1</v>
      </c>
      <c r="G24" s="294" t="s">
        <v>354</v>
      </c>
      <c r="H24" s="294" t="s">
        <v>352</v>
      </c>
      <c r="I24" s="294" t="s">
        <v>354</v>
      </c>
      <c r="J24" s="294" t="str">
        <f>+IF(F24&gt;'Equipment Data'!$G$27,"yes","No")</f>
        <v>No</v>
      </c>
      <c r="K24" s="294">
        <v>0.67</v>
      </c>
      <c r="L24" s="294" t="s">
        <v>354</v>
      </c>
      <c r="M24" s="172">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4" t="s">
        <v>354</v>
      </c>
      <c r="O24" s="294" t="s">
        <v>354</v>
      </c>
      <c r="P24" s="168">
        <f>+'Equipment Data'!$H$27</f>
        <v>2</v>
      </c>
      <c r="Q24" s="169">
        <f t="shared" si="0"/>
        <v>16847.287828768036</v>
      </c>
      <c r="R24" s="298"/>
      <c r="S24" s="201"/>
      <c r="T24" s="106"/>
      <c r="U24" s="105"/>
      <c r="V24" s="105"/>
      <c r="W24" s="83" t="s">
        <v>210</v>
      </c>
      <c r="X24" s="83"/>
      <c r="AT24" s="105"/>
      <c r="AW24" s="1"/>
      <c r="CI24" s="83"/>
      <c r="CJ24" s="83"/>
      <c r="CK24" s="83"/>
      <c r="CL24" s="83"/>
      <c r="CM24" s="83"/>
      <c r="CN24" s="83"/>
      <c r="CO24" s="83"/>
    </row>
    <row r="25" spans="1:93" x14ac:dyDescent="0.3">
      <c r="A25" s="83"/>
      <c r="B25" s="104"/>
      <c r="C25" s="216"/>
      <c r="D25" s="267" t="s">
        <v>243</v>
      </c>
      <c r="E25" s="267" t="s">
        <v>30</v>
      </c>
      <c r="F25" s="294">
        <v>1</v>
      </c>
      <c r="G25" s="294" t="s">
        <v>354</v>
      </c>
      <c r="H25" s="294" t="s">
        <v>352</v>
      </c>
      <c r="I25" s="294" t="s">
        <v>354</v>
      </c>
      <c r="J25" s="294" t="str">
        <f>+IF(F25&gt;'Equipment Data'!$G$28,"yes","No")</f>
        <v>No</v>
      </c>
      <c r="K25" s="294">
        <v>0.67</v>
      </c>
      <c r="L25" s="294" t="s">
        <v>354</v>
      </c>
      <c r="M25" s="172">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4" t="s">
        <v>354</v>
      </c>
      <c r="O25" s="294" t="s">
        <v>354</v>
      </c>
      <c r="P25" s="168">
        <f>+'Equipment Data'!$H$28</f>
        <v>1.25</v>
      </c>
      <c r="Q25" s="169">
        <f t="shared" si="0"/>
        <v>14474.714718986765</v>
      </c>
      <c r="R25" s="295"/>
      <c r="S25" s="170"/>
      <c r="T25" s="106"/>
      <c r="U25" s="105"/>
      <c r="V25" s="105"/>
      <c r="W25" s="83" t="s">
        <v>535</v>
      </c>
      <c r="X25" s="83"/>
      <c r="AT25" s="105"/>
      <c r="CI25" s="83"/>
      <c r="CJ25" s="83"/>
      <c r="CK25" s="83"/>
      <c r="CL25" s="83"/>
      <c r="CM25" s="83"/>
      <c r="CN25" s="83"/>
      <c r="CO25" s="83"/>
    </row>
    <row r="26" spans="1:93" x14ac:dyDescent="0.3">
      <c r="A26" s="83"/>
      <c r="B26" s="104"/>
      <c r="C26" s="216"/>
      <c r="D26" s="267" t="s">
        <v>243</v>
      </c>
      <c r="E26" s="267" t="s">
        <v>31</v>
      </c>
      <c r="F26" s="294">
        <v>1</v>
      </c>
      <c r="G26" s="294" t="s">
        <v>354</v>
      </c>
      <c r="H26" s="294" t="s">
        <v>352</v>
      </c>
      <c r="I26" s="294" t="s">
        <v>354</v>
      </c>
      <c r="J26" s="294" t="str">
        <f>+IF(F26&gt;'Equipment Data'!$G$29,"yes","No")</f>
        <v>No</v>
      </c>
      <c r="K26" s="294">
        <v>0.67</v>
      </c>
      <c r="L26" s="294" t="s">
        <v>354</v>
      </c>
      <c r="M26" s="172">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4" t="s">
        <v>354</v>
      </c>
      <c r="O26" s="294" t="s">
        <v>354</v>
      </c>
      <c r="P26" s="168">
        <f>+'Equipment Data'!$H$29</f>
        <v>1.25</v>
      </c>
      <c r="Q26" s="169">
        <f t="shared" si="0"/>
        <v>57346.908818392025</v>
      </c>
      <c r="R26" s="295"/>
      <c r="S26" s="170"/>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7" t="s">
        <v>243</v>
      </c>
      <c r="E27" s="267" t="s">
        <v>32</v>
      </c>
      <c r="F27" s="294">
        <v>1</v>
      </c>
      <c r="G27" s="294" t="s">
        <v>354</v>
      </c>
      <c r="H27" s="294" t="s">
        <v>352</v>
      </c>
      <c r="I27" s="294" t="s">
        <v>354</v>
      </c>
      <c r="J27" s="294" t="str">
        <f>+IF(F27&gt;'Equipment Data'!$G$30,"yes","No")</f>
        <v>No</v>
      </c>
      <c r="K27" s="294">
        <v>0.67</v>
      </c>
      <c r="L27" s="294" t="s">
        <v>354</v>
      </c>
      <c r="M27" s="172">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4" t="s">
        <v>354</v>
      </c>
      <c r="O27" s="294" t="s">
        <v>354</v>
      </c>
      <c r="P27" s="168">
        <f>+'Equipment Data'!$H$30</f>
        <v>1.1000000000000001</v>
      </c>
      <c r="Q27" s="169">
        <f t="shared" si="0"/>
        <v>4442.1445348373682</v>
      </c>
      <c r="R27" s="296"/>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4"/>
      <c r="D28" s="267" t="s">
        <v>517</v>
      </c>
      <c r="E28" s="267" t="s">
        <v>34</v>
      </c>
      <c r="F28" s="294">
        <v>1</v>
      </c>
      <c r="G28" s="294" t="s">
        <v>354</v>
      </c>
      <c r="H28" s="294" t="s">
        <v>471</v>
      </c>
      <c r="I28" s="294" t="s">
        <v>354</v>
      </c>
      <c r="J28" s="294" t="str">
        <f>+IF(F28&gt;'Equipment Data'!$G$35,"yes","No")</f>
        <v>No</v>
      </c>
      <c r="K28" s="294">
        <v>0.67</v>
      </c>
      <c r="L28" s="294" t="s">
        <v>354</v>
      </c>
      <c r="M28" s="172">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4" t="s">
        <v>354</v>
      </c>
      <c r="O28" s="294" t="s">
        <v>354</v>
      </c>
      <c r="P28" s="168">
        <f>+'Equipment Data'!$H$35</f>
        <v>1.6</v>
      </c>
      <c r="Q28" s="169">
        <f t="shared" si="0"/>
        <v>51739.232565982551</v>
      </c>
      <c r="R28" s="313"/>
      <c r="S28" s="314"/>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7" t="s">
        <v>518</v>
      </c>
      <c r="E29" s="267" t="s">
        <v>36</v>
      </c>
      <c r="F29" s="294">
        <v>1</v>
      </c>
      <c r="G29" s="294" t="s">
        <v>354</v>
      </c>
      <c r="H29" s="294" t="s">
        <v>473</v>
      </c>
      <c r="I29" s="294" t="s">
        <v>354</v>
      </c>
      <c r="J29" s="294" t="str">
        <f>+IF(F29&gt;'Equipment Data'!$H$40,"yes","No")</f>
        <v>No</v>
      </c>
      <c r="K29" s="294">
        <v>0.67</v>
      </c>
      <c r="L29" s="294" t="s">
        <v>354</v>
      </c>
      <c r="M29" s="172">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4" t="s">
        <v>354</v>
      </c>
      <c r="O29" s="294" t="s">
        <v>354</v>
      </c>
      <c r="P29" s="168">
        <f>+'Equipment Data'!$F$40</f>
        <v>1.5</v>
      </c>
      <c r="Q29" s="169">
        <f t="shared" si="0"/>
        <v>433.00335269224132</v>
      </c>
      <c r="R29" s="298"/>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7" t="s">
        <v>518</v>
      </c>
      <c r="E30" s="267" t="s">
        <v>37</v>
      </c>
      <c r="F30" s="294">
        <v>1</v>
      </c>
      <c r="G30" s="294" t="s">
        <v>354</v>
      </c>
      <c r="H30" s="294" t="s">
        <v>473</v>
      </c>
      <c r="I30" s="294" t="s">
        <v>354</v>
      </c>
      <c r="J30" s="294" t="str">
        <f>+IF(F30&gt;'Equipment Data'!$H$41,"yes","No")</f>
        <v>No</v>
      </c>
      <c r="K30" s="294">
        <v>0.67</v>
      </c>
      <c r="L30" s="294" t="s">
        <v>354</v>
      </c>
      <c r="M30" s="172">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4" t="s">
        <v>354</v>
      </c>
      <c r="O30" s="294" t="s">
        <v>354</v>
      </c>
      <c r="P30" s="168">
        <f>+'Equipment Data'!$F$41</f>
        <v>1.5</v>
      </c>
      <c r="Q30" s="169">
        <f t="shared" si="0"/>
        <v>135.54742105834532</v>
      </c>
      <c r="R30" s="295"/>
      <c r="S30" s="170"/>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7" t="s">
        <v>518</v>
      </c>
      <c r="E31" s="267" t="s">
        <v>38</v>
      </c>
      <c r="F31" s="294">
        <v>1</v>
      </c>
      <c r="G31" s="294" t="s">
        <v>354</v>
      </c>
      <c r="H31" s="294" t="s">
        <v>473</v>
      </c>
      <c r="I31" s="294" t="s">
        <v>354</v>
      </c>
      <c r="J31" s="294" t="str">
        <f>+IF(F31&gt;'Equipment Data'!$H$42,"yes","No")</f>
        <v>No</v>
      </c>
      <c r="K31" s="294">
        <v>0.67</v>
      </c>
      <c r="L31" s="294" t="s">
        <v>354</v>
      </c>
      <c r="M31" s="172">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4" t="s">
        <v>354</v>
      </c>
      <c r="O31" s="294" t="s">
        <v>354</v>
      </c>
      <c r="P31" s="168">
        <f>+'Equipment Data'!$F$42</f>
        <v>1.5</v>
      </c>
      <c r="Q31" s="169">
        <f t="shared" si="0"/>
        <v>1339.3412940974749</v>
      </c>
      <c r="R31" s="295"/>
      <c r="S31" s="170"/>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7" t="s">
        <v>518</v>
      </c>
      <c r="E32" s="267" t="s">
        <v>40</v>
      </c>
      <c r="F32" s="294">
        <v>1</v>
      </c>
      <c r="G32" s="294" t="s">
        <v>354</v>
      </c>
      <c r="H32" s="294" t="s">
        <v>473</v>
      </c>
      <c r="I32" s="294" t="s">
        <v>354</v>
      </c>
      <c r="J32" s="294" t="str">
        <f>+IF(F32&gt;'Equipment Data'!$H$43,"yes","No")</f>
        <v>yes</v>
      </c>
      <c r="K32" s="294">
        <v>0.67</v>
      </c>
      <c r="L32" s="294" t="s">
        <v>354</v>
      </c>
      <c r="M32" s="172">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4" t="s">
        <v>354</v>
      </c>
      <c r="O32" s="294" t="s">
        <v>354</v>
      </c>
      <c r="P32" s="168">
        <f>+'Equipment Data'!$F$45</f>
        <v>3.5</v>
      </c>
      <c r="Q32" s="169">
        <f t="shared" si="0"/>
        <v>5.9411161684304908E-22</v>
      </c>
      <c r="R32" s="295"/>
      <c r="S32" s="170"/>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7" t="s">
        <v>518</v>
      </c>
      <c r="E33" s="267" t="s">
        <v>41</v>
      </c>
      <c r="F33" s="294">
        <v>1</v>
      </c>
      <c r="G33" s="294" t="s">
        <v>354</v>
      </c>
      <c r="H33" s="294" t="s">
        <v>473</v>
      </c>
      <c r="I33" s="294" t="s">
        <v>354</v>
      </c>
      <c r="J33" s="294" t="str">
        <f>+IF(F33&gt;'Equipment Data'!$H$44,"yes","No")</f>
        <v>No</v>
      </c>
      <c r="K33" s="294">
        <v>0.67</v>
      </c>
      <c r="L33" s="294" t="s">
        <v>354</v>
      </c>
      <c r="M33" s="172">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4" t="s">
        <v>354</v>
      </c>
      <c r="O33" s="294" t="s">
        <v>354</v>
      </c>
      <c r="P33" s="168">
        <f>+'Equipment Data'!$F$46</f>
        <v>3.5</v>
      </c>
      <c r="Q33" s="169">
        <f t="shared" si="0"/>
        <v>1478.9995584854855</v>
      </c>
      <c r="R33" s="295"/>
      <c r="S33" s="170"/>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7" t="s">
        <v>518</v>
      </c>
      <c r="E34" s="267" t="s">
        <v>42</v>
      </c>
      <c r="F34" s="294">
        <v>1</v>
      </c>
      <c r="G34" s="294" t="s">
        <v>354</v>
      </c>
      <c r="H34" s="294" t="s">
        <v>473</v>
      </c>
      <c r="I34" s="294" t="s">
        <v>354</v>
      </c>
      <c r="J34" s="294" t="str">
        <f>+IF(F34&gt;'Equipment Data'!$H$45,"yes","No")</f>
        <v>No</v>
      </c>
      <c r="K34" s="294">
        <v>0.67</v>
      </c>
      <c r="L34" s="294" t="s">
        <v>354</v>
      </c>
      <c r="M34" s="172">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4" t="s">
        <v>354</v>
      </c>
      <c r="O34" s="294" t="s">
        <v>354</v>
      </c>
      <c r="P34" s="168">
        <f>+'Equipment Data'!$F$47</f>
        <v>2</v>
      </c>
      <c r="Q34" s="169">
        <f t="shared" si="0"/>
        <v>1160.192345045409</v>
      </c>
      <c r="R34" s="296"/>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301"/>
      <c r="D35" s="267" t="s">
        <v>246</v>
      </c>
      <c r="E35" s="267" t="s">
        <v>44</v>
      </c>
      <c r="F35" s="294">
        <v>1</v>
      </c>
      <c r="G35" s="294" t="s">
        <v>354</v>
      </c>
      <c r="H35" s="294" t="s">
        <v>352</v>
      </c>
      <c r="I35" s="294" t="s">
        <v>354</v>
      </c>
      <c r="J35" s="294" t="str">
        <f>+IF(F35&gt;'Equipment Data'!$G$2,"yes","No")</f>
        <v>yes</v>
      </c>
      <c r="K35" s="294">
        <v>0.67</v>
      </c>
      <c r="L35" s="294" t="s">
        <v>354</v>
      </c>
      <c r="M35" s="172">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4" t="s">
        <v>354</v>
      </c>
      <c r="O35" s="294" t="s">
        <v>354</v>
      </c>
      <c r="P35" s="168">
        <f>+'Equipment Data'!$H$52</f>
        <v>1.6</v>
      </c>
      <c r="Q35" s="169">
        <f>+M35*P35</f>
        <v>56405.30899134183</v>
      </c>
      <c r="R35" s="305"/>
      <c r="S35" s="311"/>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2"/>
      <c r="D36" s="267" t="s">
        <v>246</v>
      </c>
      <c r="E36" s="267" t="s">
        <v>519</v>
      </c>
      <c r="F36" s="294">
        <v>1</v>
      </c>
      <c r="G36" s="294" t="s">
        <v>354</v>
      </c>
      <c r="H36" s="294" t="s">
        <v>352</v>
      </c>
      <c r="I36" s="294" t="s">
        <v>354</v>
      </c>
      <c r="J36" s="294" t="str">
        <f>+IF(F36&gt;'Equipment Data'!$G$3,"yes","No")</f>
        <v>No</v>
      </c>
      <c r="K36" s="294">
        <v>0.67</v>
      </c>
      <c r="L36" s="294" t="s">
        <v>354</v>
      </c>
      <c r="M36" s="172">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4" t="s">
        <v>354</v>
      </c>
      <c r="O36" s="294" t="s">
        <v>354</v>
      </c>
      <c r="P36" s="168">
        <f>+'Equipment Data'!$H$53</f>
        <v>1.25</v>
      </c>
      <c r="Q36" s="169">
        <f t="shared" ref="Q36:Q37" si="1">+M36*P36</f>
        <v>4585.7461805167804</v>
      </c>
      <c r="R36" s="307"/>
      <c r="S36" s="312"/>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2"/>
      <c r="D37" s="267" t="s">
        <v>246</v>
      </c>
      <c r="E37" s="267" t="s">
        <v>46</v>
      </c>
      <c r="F37" s="294">
        <v>1</v>
      </c>
      <c r="G37" s="294" t="s">
        <v>354</v>
      </c>
      <c r="H37" s="294" t="s">
        <v>352</v>
      </c>
      <c r="I37" s="294" t="s">
        <v>354</v>
      </c>
      <c r="J37" s="294" t="str">
        <f>+IF(F37&gt;'Equipment Data'!$G$4,"yes","No")</f>
        <v>No</v>
      </c>
      <c r="K37" s="294">
        <v>0.67</v>
      </c>
      <c r="L37" s="294" t="s">
        <v>354</v>
      </c>
      <c r="M37" s="172">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4" t="s">
        <v>354</v>
      </c>
      <c r="O37" s="294" t="s">
        <v>354</v>
      </c>
      <c r="P37" s="168">
        <f>+'Equipment Data'!$H$54</f>
        <v>1.25</v>
      </c>
      <c r="Q37" s="169">
        <f t="shared" si="1"/>
        <v>6194.5535695287181</v>
      </c>
      <c r="R37" s="307"/>
      <c r="S37" s="312"/>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7" t="s">
        <v>521</v>
      </c>
      <c r="E38" s="267" t="s">
        <v>50</v>
      </c>
      <c r="F38" s="294">
        <v>1</v>
      </c>
      <c r="G38" s="294" t="s">
        <v>354</v>
      </c>
      <c r="H38" s="294" t="s">
        <v>351</v>
      </c>
      <c r="I38" s="294" t="s">
        <v>354</v>
      </c>
      <c r="J38" s="294" t="str">
        <f>+IF(F38&gt;'Equipment Data'!$G$59,"yes","No")</f>
        <v>No</v>
      </c>
      <c r="K38" s="294">
        <v>0.67</v>
      </c>
      <c r="L38" s="294" t="s">
        <v>354</v>
      </c>
      <c r="M38" s="172">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4" t="s">
        <v>354</v>
      </c>
      <c r="O38" s="294" t="s">
        <v>354</v>
      </c>
      <c r="P38" s="168">
        <f>+'Equipment Data'!$H$59</f>
        <v>2.86</v>
      </c>
      <c r="Q38" s="169">
        <f>+P38*M38</f>
        <v>90587.032520112072</v>
      </c>
      <c r="R38" s="166"/>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7" t="s">
        <v>521</v>
      </c>
      <c r="E39" s="267" t="s">
        <v>520</v>
      </c>
      <c r="F39" s="294">
        <v>1</v>
      </c>
      <c r="G39" s="637" t="s">
        <v>354</v>
      </c>
      <c r="H39" s="294" t="s">
        <v>351</v>
      </c>
      <c r="I39" s="637" t="s">
        <v>354</v>
      </c>
      <c r="J39" s="294" t="str">
        <f>+IF(F39&gt;'Equipment Data'!$G$60,"yes","No")</f>
        <v>No</v>
      </c>
      <c r="K39" s="294">
        <v>0.67</v>
      </c>
      <c r="L39" s="294" t="s">
        <v>354</v>
      </c>
      <c r="M39" s="172">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4" t="s">
        <v>354</v>
      </c>
      <c r="O39" s="294" t="s">
        <v>354</v>
      </c>
      <c r="P39" s="168">
        <f>+'Equipment Data'!$H$60</f>
        <v>2.86</v>
      </c>
      <c r="Q39" s="169">
        <f t="shared" ref="Q39:Q41" si="2">+P39*M39</f>
        <v>12194.557143342265</v>
      </c>
      <c r="R39" s="98"/>
      <c r="S39" s="170"/>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7" t="s">
        <v>521</v>
      </c>
      <c r="E40" s="233" t="s">
        <v>55</v>
      </c>
      <c r="F40" s="294">
        <v>1</v>
      </c>
      <c r="G40" s="294" t="s">
        <v>354</v>
      </c>
      <c r="H40" s="294" t="s">
        <v>351</v>
      </c>
      <c r="I40" s="294" t="s">
        <v>354</v>
      </c>
      <c r="J40" s="294" t="str">
        <f>+IF(F40&gt;'Equipment Data'!$G$64,"yes","No")</f>
        <v>No</v>
      </c>
      <c r="K40" s="294">
        <v>0.67</v>
      </c>
      <c r="L40" s="294" t="s">
        <v>354</v>
      </c>
      <c r="M40" s="172">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4" t="s">
        <v>354</v>
      </c>
      <c r="O40" s="294" t="s">
        <v>354</v>
      </c>
      <c r="P40" s="168">
        <f>+'Equipment Data'!$H$64</f>
        <v>2.86</v>
      </c>
      <c r="Q40" s="169">
        <f t="shared" si="2"/>
        <v>12194.557143342265</v>
      </c>
      <c r="R40" s="98"/>
      <c r="S40" s="170"/>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7" t="s">
        <v>521</v>
      </c>
      <c r="E41" s="233" t="s">
        <v>56</v>
      </c>
      <c r="F41" s="294">
        <v>1</v>
      </c>
      <c r="G41" s="294" t="s">
        <v>354</v>
      </c>
      <c r="H41" s="294" t="s">
        <v>351</v>
      </c>
      <c r="I41" s="294" t="s">
        <v>354</v>
      </c>
      <c r="J41" s="294" t="str">
        <f>+IF(F41&gt;'Equipment Data'!$G$65,"yes","No")</f>
        <v>No</v>
      </c>
      <c r="K41" s="294">
        <v>0.67</v>
      </c>
      <c r="L41" s="294" t="s">
        <v>354</v>
      </c>
      <c r="M41" s="172">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4" t="s">
        <v>354</v>
      </c>
      <c r="O41" s="294" t="s">
        <v>354</v>
      </c>
      <c r="P41" s="168">
        <f>+'Equipment Data'!$H$65</f>
        <v>2.86</v>
      </c>
      <c r="Q41" s="169">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301"/>
      <c r="D42" s="267" t="s">
        <v>248</v>
      </c>
      <c r="E42" s="267" t="s">
        <v>66</v>
      </c>
      <c r="F42" s="294">
        <v>1</v>
      </c>
      <c r="G42" s="294">
        <v>1</v>
      </c>
      <c r="H42" s="294" t="s">
        <v>473</v>
      </c>
      <c r="I42" s="294" t="s">
        <v>85</v>
      </c>
      <c r="J42" s="294" t="str">
        <f>+IF(F42&gt;'Equipment Data'!$O$70,"yes","No")</f>
        <v>No</v>
      </c>
      <c r="K42" s="294">
        <v>0.67</v>
      </c>
      <c r="L42" s="294" t="s">
        <v>354</v>
      </c>
      <c r="M42" s="172">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8">
        <f>+IF((G42/100)&gt;'Equipment Data'!$J$70,10^('Equipment Data'!$K$70+'Equipment Data'!$L$70*LOG10(G42)+'Equipment Data'!$M$70*LOG10(G42)*LOG10(G42)),1)</f>
        <v>1</v>
      </c>
      <c r="O42" s="294" t="s">
        <v>354</v>
      </c>
      <c r="P42" s="168">
        <f>+IF(I42="CS",'Equipment Data'!$F$70,IF(I42="SS",'Equipment Data'!$H$70,IF(I42="Ni",'Equipment Data'!$I$70,IF(I42="fiberglass",'Equipment Data'!$G$70,"N/A"))))</f>
        <v>2.74</v>
      </c>
      <c r="Q42" s="169">
        <f>+M42*N42*P42</f>
        <v>9480.9217640328061</v>
      </c>
      <c r="R42" s="305"/>
      <c r="S42" s="311"/>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2"/>
      <c r="D43" s="267" t="s">
        <v>248</v>
      </c>
      <c r="E43" s="267" t="s">
        <v>67</v>
      </c>
      <c r="F43" s="294">
        <v>1</v>
      </c>
      <c r="G43" s="294">
        <v>1</v>
      </c>
      <c r="H43" s="294" t="s">
        <v>473</v>
      </c>
      <c r="I43" s="294" t="s">
        <v>85</v>
      </c>
      <c r="J43" s="294" t="str">
        <f>+IF(F43&gt;'Equipment Data'!$O$71,"yes","No")</f>
        <v>No</v>
      </c>
      <c r="K43" s="294">
        <v>0.67</v>
      </c>
      <c r="L43" s="294" t="s">
        <v>354</v>
      </c>
      <c r="M43" s="172">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8">
        <f>+IF((G43/100)&gt;'Equipment Data'!$J$71,10^('Equipment Data'!$K$71+'Equipment Data'!$L$71*LOG10(G43)+'Equipment Data'!$M$71*LOG10(G43)*LOG10(G43)),1)</f>
        <v>1</v>
      </c>
      <c r="O43" s="294" t="s">
        <v>354</v>
      </c>
      <c r="P43" s="168">
        <f>+IF(I43="CS",'Equipment Data'!$F$71,IF(I43="SS",'Equipment Data'!$H$71,IF(I43="Ni",'Equipment Data'!$I$71,IF(I43="fiberglass",'Equipment Data'!$G$71,"N/A"))))</f>
        <v>2.74</v>
      </c>
      <c r="Q43" s="169">
        <f t="shared" ref="Q43:Q45" si="3">+M43*N43*P43</f>
        <v>6093.2719665874984</v>
      </c>
      <c r="R43" s="307"/>
      <c r="S43" s="312"/>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2"/>
      <c r="D44" s="267" t="s">
        <v>248</v>
      </c>
      <c r="E44" s="267" t="s">
        <v>68</v>
      </c>
      <c r="F44" s="294">
        <v>1</v>
      </c>
      <c r="G44" s="294">
        <v>1</v>
      </c>
      <c r="H44" s="294" t="s">
        <v>473</v>
      </c>
      <c r="I44" s="294" t="s">
        <v>85</v>
      </c>
      <c r="J44" s="294" t="str">
        <f>+IF(F44&gt;'Equipment Data'!$O$72,"yes","No")</f>
        <v>No</v>
      </c>
      <c r="K44" s="294">
        <v>0.67</v>
      </c>
      <c r="L44" s="294" t="s">
        <v>354</v>
      </c>
      <c r="M44" s="172">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8">
        <f>+IF((G44/100)&gt;'Equipment Data'!$J$72,10^('Equipment Data'!$K$72+'Equipment Data'!$L$72*LOG10(G44)+'Equipment Data'!$M$72*LOG10(G44)*LOG10(G44)),1)</f>
        <v>1</v>
      </c>
      <c r="O44" s="294" t="s">
        <v>354</v>
      </c>
      <c r="P44" s="168">
        <f>+IF(I44="CS",'Equipment Data'!$F$72,IF(I44="SS",'Equipment Data'!$H$72,IF(I44="Ni",'Equipment Data'!$I$72,IF(I44="fiberglass",'Equipment Data'!$G$72,"N/A"))))</f>
        <v>2.74</v>
      </c>
      <c r="Q44" s="169">
        <f t="shared" si="3"/>
        <v>3014.0507653670466</v>
      </c>
      <c r="R44" s="307"/>
      <c r="S44" s="312"/>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3"/>
      <c r="D45" s="267" t="s">
        <v>248</v>
      </c>
      <c r="E45" s="267" t="s">
        <v>69</v>
      </c>
      <c r="F45" s="294">
        <v>1</v>
      </c>
      <c r="G45" s="294">
        <v>1</v>
      </c>
      <c r="H45" s="294" t="s">
        <v>473</v>
      </c>
      <c r="I45" s="294" t="s">
        <v>85</v>
      </c>
      <c r="J45" s="294" t="str">
        <f>+IF(F45&gt;'Equipment Data'!$O$73,"yes","No")</f>
        <v>No</v>
      </c>
      <c r="K45" s="294">
        <v>0.67</v>
      </c>
      <c r="L45" s="294" t="s">
        <v>354</v>
      </c>
      <c r="M45" s="172">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8">
        <f>+IF((G45/100)&gt;'Equipment Data'!$J$73,10^('Equipment Data'!$K$73+'Equipment Data'!$L$73*LOG10(G45)+'Equipment Data'!$M$73*LOG10(G45)*LOG10(G45)),1)</f>
        <v>1</v>
      </c>
      <c r="O45" s="294" t="s">
        <v>354</v>
      </c>
      <c r="P45" s="168">
        <f>+IF(I45="CS",'Equipment Data'!$F$73,IF(I45="SS",'Equipment Data'!$H$73,IF(I45="Ni",'Equipment Data'!$I$73,IF(I45="fiberglass",'Equipment Data'!$G$73,"N/A"))))</f>
        <v>2.74</v>
      </c>
      <c r="Q45" s="169">
        <f t="shared" si="3"/>
        <v>4110.0827218492996</v>
      </c>
      <c r="R45" s="307"/>
      <c r="S45" s="312"/>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7" t="s">
        <v>522</v>
      </c>
      <c r="E46" s="267" t="s">
        <v>71</v>
      </c>
      <c r="F46" s="294">
        <v>1</v>
      </c>
      <c r="G46" s="294" t="s">
        <v>354</v>
      </c>
      <c r="H46" s="294" t="s">
        <v>352</v>
      </c>
      <c r="I46" s="294" t="s">
        <v>354</v>
      </c>
      <c r="J46" s="294" t="str">
        <f>+IF(F46&gt;'Equipment Data'!$G$78,"yes","No")</f>
        <v>No</v>
      </c>
      <c r="K46" s="294">
        <v>0.67</v>
      </c>
      <c r="L46" s="294" t="s">
        <v>354</v>
      </c>
      <c r="M46" s="172">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4" t="s">
        <v>354</v>
      </c>
      <c r="O46" s="294" t="s">
        <v>354</v>
      </c>
      <c r="P46" s="168">
        <f>+'Equipment Data'!$H$78</f>
        <v>1.65</v>
      </c>
      <c r="Q46" s="169">
        <f>+M46*P46</f>
        <v>210370.06649071307</v>
      </c>
      <c r="R46" s="298"/>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7" t="s">
        <v>522</v>
      </c>
      <c r="E47" s="267" t="s">
        <v>72</v>
      </c>
      <c r="F47" s="294">
        <v>1</v>
      </c>
      <c r="G47" s="294" t="s">
        <v>354</v>
      </c>
      <c r="H47" s="294" t="s">
        <v>352</v>
      </c>
      <c r="I47" s="294" t="s">
        <v>354</v>
      </c>
      <c r="J47" s="294" t="str">
        <f>+IF(F47&gt;'Equipment Data'!$G$79,"yes","No")</f>
        <v>No</v>
      </c>
      <c r="K47" s="294">
        <v>0.67</v>
      </c>
      <c r="L47" s="294" t="s">
        <v>354</v>
      </c>
      <c r="M47" s="172">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4" t="s">
        <v>354</v>
      </c>
      <c r="O47" s="294" t="s">
        <v>354</v>
      </c>
      <c r="P47" s="168">
        <f>+'Equipment Data'!$H$79</f>
        <v>1.65</v>
      </c>
      <c r="Q47" s="169">
        <f t="shared" ref="Q47:Q54" si="4">+M47*P47</f>
        <v>2680.3033194193504</v>
      </c>
      <c r="R47" s="295"/>
      <c r="S47" s="170"/>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7" t="s">
        <v>522</v>
      </c>
      <c r="E48" s="267" t="s">
        <v>73</v>
      </c>
      <c r="F48" s="294">
        <v>1</v>
      </c>
      <c r="G48" s="294" t="s">
        <v>354</v>
      </c>
      <c r="H48" s="294" t="s">
        <v>352</v>
      </c>
      <c r="I48" s="294" t="s">
        <v>354</v>
      </c>
      <c r="J48" s="294" t="str">
        <f>+IF(F48&gt;'Equipment Data'!$G$80,"yes","No")</f>
        <v>No</v>
      </c>
      <c r="K48" s="294">
        <v>0.67</v>
      </c>
      <c r="L48" s="294" t="s">
        <v>354</v>
      </c>
      <c r="M48" s="172">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4" t="s">
        <v>354</v>
      </c>
      <c r="O48" s="294" t="s">
        <v>354</v>
      </c>
      <c r="P48" s="168">
        <f>+'Equipment Data'!$H$80</f>
        <v>1.65</v>
      </c>
      <c r="Q48" s="169">
        <f t="shared" si="4"/>
        <v>107098.63710675374</v>
      </c>
      <c r="R48" s="295"/>
      <c r="S48" s="170"/>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7" t="s">
        <v>522</v>
      </c>
      <c r="E49" s="267" t="s">
        <v>74</v>
      </c>
      <c r="F49" s="294">
        <v>1</v>
      </c>
      <c r="G49" s="294" t="s">
        <v>354</v>
      </c>
      <c r="H49" s="294" t="s">
        <v>352</v>
      </c>
      <c r="I49" s="294" t="s">
        <v>354</v>
      </c>
      <c r="J49" s="294" t="str">
        <f>+IF(F49&gt;'Equipment Data'!$G$81,"yes","No")</f>
        <v>No</v>
      </c>
      <c r="K49" s="294">
        <v>0.67</v>
      </c>
      <c r="L49" s="294" t="s">
        <v>354</v>
      </c>
      <c r="M49" s="172">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4" t="s">
        <v>354</v>
      </c>
      <c r="O49" s="294" t="s">
        <v>354</v>
      </c>
      <c r="P49" s="168">
        <f>+'Equipment Data'!$H$81</f>
        <v>1.65</v>
      </c>
      <c r="Q49" s="169">
        <f t="shared" si="4"/>
        <v>31123.178548292599</v>
      </c>
      <c r="R49" s="295"/>
      <c r="S49" s="170"/>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7" t="s">
        <v>522</v>
      </c>
      <c r="E50" s="267" t="s">
        <v>75</v>
      </c>
      <c r="F50" s="294">
        <v>1</v>
      </c>
      <c r="G50" s="294" t="s">
        <v>354</v>
      </c>
      <c r="H50" s="294" t="s">
        <v>352</v>
      </c>
      <c r="I50" s="294" t="s">
        <v>354</v>
      </c>
      <c r="J50" s="294" t="str">
        <f>+IF(F50&gt;'Equipment Data'!$G$82,"yes","No")</f>
        <v>No</v>
      </c>
      <c r="K50" s="294">
        <v>0.67</v>
      </c>
      <c r="L50" s="294" t="s">
        <v>354</v>
      </c>
      <c r="M50" s="172">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4" t="s">
        <v>354</v>
      </c>
      <c r="O50" s="294" t="s">
        <v>354</v>
      </c>
      <c r="P50" s="168">
        <f>+'Equipment Data'!$H$82</f>
        <v>1.65</v>
      </c>
      <c r="Q50" s="169">
        <f t="shared" si="4"/>
        <v>10868.858736151833</v>
      </c>
      <c r="R50" s="295"/>
      <c r="S50" s="170"/>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7" t="s">
        <v>522</v>
      </c>
      <c r="E51" s="267" t="s">
        <v>76</v>
      </c>
      <c r="F51" s="294">
        <v>1</v>
      </c>
      <c r="G51" s="294" t="s">
        <v>354</v>
      </c>
      <c r="H51" s="294" t="s">
        <v>352</v>
      </c>
      <c r="I51" s="294" t="s">
        <v>354</v>
      </c>
      <c r="J51" s="294" t="str">
        <f>+IF(F51&gt;'Equipment Data'!$G$83,"yes","No")</f>
        <v>No</v>
      </c>
      <c r="K51" s="294">
        <v>0.67</v>
      </c>
      <c r="L51" s="294" t="s">
        <v>354</v>
      </c>
      <c r="M51" s="172">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4" t="s">
        <v>354</v>
      </c>
      <c r="O51" s="294" t="s">
        <v>354</v>
      </c>
      <c r="P51" s="168">
        <f>+'Equipment Data'!$H$83</f>
        <v>1.65</v>
      </c>
      <c r="Q51" s="169">
        <f t="shared" si="4"/>
        <v>107098.63710675374</v>
      </c>
      <c r="R51" s="295"/>
      <c r="S51" s="170"/>
      <c r="T51" s="106"/>
      <c r="U51" s="105"/>
      <c r="V51" s="105"/>
      <c r="W51" s="105"/>
      <c r="X51" s="253"/>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7" t="s">
        <v>522</v>
      </c>
      <c r="E52" s="267" t="s">
        <v>77</v>
      </c>
      <c r="F52" s="294">
        <v>1</v>
      </c>
      <c r="G52" s="294" t="s">
        <v>354</v>
      </c>
      <c r="H52" s="294" t="s">
        <v>352</v>
      </c>
      <c r="I52" s="294" t="s">
        <v>354</v>
      </c>
      <c r="J52" s="294" t="str">
        <f>+IF(F52&gt;'Equipment Data'!$G$84,"yes","No")</f>
        <v>No</v>
      </c>
      <c r="K52" s="294">
        <v>0.67</v>
      </c>
      <c r="L52" s="294" t="s">
        <v>354</v>
      </c>
      <c r="M52" s="172">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4" t="s">
        <v>354</v>
      </c>
      <c r="O52" s="294" t="s">
        <v>354</v>
      </c>
      <c r="P52" s="168">
        <f>+'Equipment Data'!$H$84</f>
        <v>1.8</v>
      </c>
      <c r="Q52" s="169">
        <f t="shared" si="4"/>
        <v>33952.558416319203</v>
      </c>
      <c r="R52" s="295"/>
      <c r="S52" s="170"/>
      <c r="T52" s="106"/>
      <c r="U52" s="105"/>
      <c r="V52" s="105"/>
      <c r="W52" s="105"/>
      <c r="X52" s="253"/>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7" t="s">
        <v>522</v>
      </c>
      <c r="E53" s="267" t="s">
        <v>78</v>
      </c>
      <c r="F53" s="294">
        <v>1</v>
      </c>
      <c r="G53" s="294" t="s">
        <v>354</v>
      </c>
      <c r="H53" s="294" t="s">
        <v>352</v>
      </c>
      <c r="I53" s="294" t="s">
        <v>354</v>
      </c>
      <c r="J53" s="294" t="str">
        <f>+IF(F53&gt;'Equipment Data'!$G$85,"yes","No")</f>
        <v>No</v>
      </c>
      <c r="K53" s="294">
        <v>0.67</v>
      </c>
      <c r="L53" s="294" t="s">
        <v>354</v>
      </c>
      <c r="M53" s="172">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4" t="s">
        <v>354</v>
      </c>
      <c r="O53" s="294" t="s">
        <v>354</v>
      </c>
      <c r="P53" s="168">
        <f>+'Equipment Data'!$H$85</f>
        <v>1.65</v>
      </c>
      <c r="Q53" s="169">
        <f t="shared" si="4"/>
        <v>210370.06649071307</v>
      </c>
      <c r="R53" s="295"/>
      <c r="S53" s="170"/>
      <c r="T53" s="106"/>
      <c r="U53" s="105"/>
      <c r="V53" s="105"/>
      <c r="W53" s="105"/>
      <c r="X53" s="253"/>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7" t="s">
        <v>522</v>
      </c>
      <c r="E54" s="267" t="s">
        <v>79</v>
      </c>
      <c r="F54" s="294">
        <v>1</v>
      </c>
      <c r="G54" s="294" t="s">
        <v>354</v>
      </c>
      <c r="H54" s="294" t="s">
        <v>352</v>
      </c>
      <c r="I54" s="294" t="s">
        <v>354</v>
      </c>
      <c r="J54" s="294" t="str">
        <f>+IF(F54&gt;'Equipment Data'!$G$86,"yes","No")</f>
        <v>No</v>
      </c>
      <c r="K54" s="294">
        <v>0.67</v>
      </c>
      <c r="L54" s="294" t="s">
        <v>354</v>
      </c>
      <c r="M54" s="172">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4" t="s">
        <v>354</v>
      </c>
      <c r="O54" s="294" t="s">
        <v>354</v>
      </c>
      <c r="P54" s="168">
        <f>+'Equipment Data'!$H$86</f>
        <v>1.54</v>
      </c>
      <c r="Q54" s="169">
        <f t="shared" si="4"/>
        <v>196345.39539133222</v>
      </c>
      <c r="R54" s="296"/>
      <c r="S54" s="202"/>
      <c r="T54" s="106"/>
      <c r="U54" s="105"/>
      <c r="V54" s="105"/>
      <c r="W54" s="105"/>
      <c r="X54" s="253"/>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301"/>
      <c r="D55" s="267" t="s">
        <v>523</v>
      </c>
      <c r="E55" s="267" t="s">
        <v>88</v>
      </c>
      <c r="F55" s="294">
        <v>1</v>
      </c>
      <c r="G55" s="294">
        <v>1</v>
      </c>
      <c r="H55" s="294" t="s">
        <v>473</v>
      </c>
      <c r="I55" s="294" t="s">
        <v>85</v>
      </c>
      <c r="J55" s="294" t="str">
        <f>+IF(F55&gt;'Equipment Data'!$G$92,"yes","No")</f>
        <v>No</v>
      </c>
      <c r="K55" s="294">
        <v>0.67</v>
      </c>
      <c r="L55" s="294" t="s">
        <v>354</v>
      </c>
      <c r="M55" s="172">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8">
        <f>+IF(G55-1.01325&gt;10,10^('Equipment Data'!$I$92+LOG10(G55-1.01325)*'Equipment Data'!$J$92+'Equipment Data'!$K$92*LOG10(G55-1.01325)*LOG10(G55-1.01325)),1)</f>
        <v>1</v>
      </c>
      <c r="O55" s="299"/>
      <c r="P55" s="168">
        <f>+IF(I55="CS",'Equipment Data'!$L$92,IF(I55="Alloy Steel",'Equipment Data'!$M$92,IF(I55="SS",'Equipment Data'!$N$92,"N/A")))</f>
        <v>2.13</v>
      </c>
      <c r="Q55" s="169">
        <f>+M55*N55*P55</f>
        <v>2491.0337028723284</v>
      </c>
      <c r="R55" s="305"/>
      <c r="S55" s="311"/>
      <c r="T55" s="106"/>
      <c r="U55" s="105"/>
      <c r="V55" s="105"/>
      <c r="W55" s="105"/>
      <c r="X55" s="253"/>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2"/>
      <c r="D56" s="267" t="s">
        <v>523</v>
      </c>
      <c r="E56" s="267" t="s">
        <v>524</v>
      </c>
      <c r="F56" s="294">
        <v>1</v>
      </c>
      <c r="G56" s="294">
        <v>1</v>
      </c>
      <c r="H56" s="294" t="s">
        <v>473</v>
      </c>
      <c r="I56" s="294" t="s">
        <v>85</v>
      </c>
      <c r="J56" s="294" t="str">
        <f>+IF(F56&gt;'Equipment Data'!$G$93,"yes","No")</f>
        <v>No</v>
      </c>
      <c r="K56" s="294">
        <v>0.67</v>
      </c>
      <c r="L56" s="294" t="s">
        <v>354</v>
      </c>
      <c r="M56" s="172">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8">
        <f>+IF(G56-1.01325&gt;10,10^('Equipment Data'!$I$93+LOG10(G56-1.01325)*'Equipment Data'!$J$93+'Equipment Data'!$K$93*LOG10(G56-1.01325)*LOG10(G56-1.01325)),1)</f>
        <v>1</v>
      </c>
      <c r="O56" s="169" t="s">
        <v>354</v>
      </c>
      <c r="P56" s="168">
        <f>+IF(I56="CS",'Equipment Data'!$L$93,IF(I56="Alloy Steel",'Equipment Data'!$M$93,IF(I56="SS",'Equipment Data'!$N$93,"N/A")))</f>
        <v>2.13</v>
      </c>
      <c r="Q56" s="169">
        <f t="shared" ref="Q56:Q60" si="5">+M56*N56*P56</f>
        <v>517.94018006756983</v>
      </c>
      <c r="R56" s="307"/>
      <c r="S56" s="312"/>
      <c r="T56" s="106"/>
      <c r="U56" s="105"/>
      <c r="V56" s="105"/>
      <c r="W56" s="105"/>
      <c r="X56" s="253"/>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2"/>
      <c r="D57" s="267" t="s">
        <v>523</v>
      </c>
      <c r="E57" s="267" t="s">
        <v>91</v>
      </c>
      <c r="F57" s="294">
        <v>1</v>
      </c>
      <c r="G57" s="294">
        <v>1</v>
      </c>
      <c r="H57" s="294" t="s">
        <v>473</v>
      </c>
      <c r="I57" s="294" t="s">
        <v>85</v>
      </c>
      <c r="J57" s="294" t="str">
        <f>+IF(F57&gt;'Equipment Data'!$G$94,"yes","No")</f>
        <v>yes</v>
      </c>
      <c r="K57" s="294">
        <v>0.67</v>
      </c>
      <c r="L57" s="294" t="s">
        <v>354</v>
      </c>
      <c r="M57" s="172">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8">
        <f>+IF(G57-1.01325&gt;10,10^('Equipment Data'!$I$97+LOG10(G57-1.01325)*'Equipment Data'!$J$97+'Equipment Data'!$K$97*LOG10(G57-1.01325)*LOG10(G57-1.01325)),1)</f>
        <v>1</v>
      </c>
      <c r="O57" s="169" t="s">
        <v>354</v>
      </c>
      <c r="P57" s="168">
        <f>+IF(I57="CS",'Equipment Data'!$L$97,IF(I57="Alloy Steel",'Equipment Data'!$M$97,IF(I57="SS",'Equipment Data'!$N$97,"N/A")))</f>
        <v>2.13</v>
      </c>
      <c r="Q57" s="169">
        <f t="shared" si="5"/>
        <v>47553184.252436623</v>
      </c>
      <c r="R57" s="307"/>
      <c r="S57" s="312"/>
      <c r="T57" s="106"/>
      <c r="U57" s="105"/>
      <c r="V57" s="105"/>
      <c r="W57" s="105"/>
      <c r="X57" s="253"/>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2"/>
      <c r="D58" s="267" t="s">
        <v>523</v>
      </c>
      <c r="E58" s="267" t="s">
        <v>98</v>
      </c>
      <c r="F58" s="294">
        <v>1</v>
      </c>
      <c r="G58" s="294">
        <v>1</v>
      </c>
      <c r="H58" s="294" t="s">
        <v>473</v>
      </c>
      <c r="I58" s="294" t="s">
        <v>354</v>
      </c>
      <c r="J58" s="294" t="str">
        <f>+IF(F58&gt;'Equipment Data'!$G$95,"yes","No")</f>
        <v>yes</v>
      </c>
      <c r="K58" s="294">
        <v>0.67</v>
      </c>
      <c r="L58" s="294" t="s">
        <v>354</v>
      </c>
      <c r="M58" s="172">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8">
        <f>+IF(G58-1.01325&gt;10,10^('Equipment Data'!$I$102+LOG10(G58-1.01325)*'Equipment Data'!$J$102+'Equipment Data'!$K$102*LOG10(G58-1.01325)*LOG10(G58-1.01325)),1)</f>
        <v>1</v>
      </c>
      <c r="O58" s="169" t="s">
        <v>354</v>
      </c>
      <c r="P58" s="168">
        <f>+'Equipment Data'!$L$102</f>
        <v>2.17</v>
      </c>
      <c r="Q58" s="169">
        <f t="shared" si="5"/>
        <v>262.63931308077269</v>
      </c>
      <c r="R58" s="307"/>
      <c r="S58" s="312"/>
      <c r="T58" s="106"/>
      <c r="U58" s="105"/>
      <c r="V58" s="105"/>
      <c r="W58" s="105"/>
      <c r="X58" s="253"/>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2"/>
      <c r="D59" s="267" t="s">
        <v>523</v>
      </c>
      <c r="E59" s="267" t="s">
        <v>99</v>
      </c>
      <c r="F59" s="294">
        <v>1</v>
      </c>
      <c r="G59" s="294">
        <v>1</v>
      </c>
      <c r="H59" s="294" t="s">
        <v>473</v>
      </c>
      <c r="I59" s="294" t="s">
        <v>354</v>
      </c>
      <c r="J59" s="294" t="str">
        <f>+IF(F59&gt;'Equipment Data'!$G$96,"yes","No")</f>
        <v>No</v>
      </c>
      <c r="K59" s="294">
        <v>0.67</v>
      </c>
      <c r="L59" s="294" t="s">
        <v>354</v>
      </c>
      <c r="M59" s="172">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8">
        <f>+IF(G59-1.01325&gt;10,10^('Equipment Data'!$I$103+LOG10(G59-1.01325)*'Equipment Data'!$J$103+'Equipment Data'!$K$103*LOG10(G59-1.01325)*LOG10(G59-1.01325)),1)</f>
        <v>1</v>
      </c>
      <c r="O59" s="169" t="s">
        <v>354</v>
      </c>
      <c r="P59" s="168">
        <f>+'Equipment Data'!$L$103</f>
        <v>2.17</v>
      </c>
      <c r="Q59" s="169">
        <f t="shared" si="5"/>
        <v>34.22628275223952</v>
      </c>
      <c r="R59" s="307"/>
      <c r="S59" s="312"/>
      <c r="T59" s="106"/>
      <c r="U59" s="105"/>
      <c r="V59" s="105"/>
      <c r="W59" s="105"/>
      <c r="X59" s="253"/>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2"/>
      <c r="D60" s="267" t="s">
        <v>523</v>
      </c>
      <c r="E60" s="267" t="s">
        <v>100</v>
      </c>
      <c r="F60" s="294">
        <v>1</v>
      </c>
      <c r="G60" s="294">
        <v>1</v>
      </c>
      <c r="H60" s="294" t="s">
        <v>473</v>
      </c>
      <c r="I60" s="294" t="s">
        <v>354</v>
      </c>
      <c r="J60" s="294" t="str">
        <f>+IF(F60&gt;'Equipment Data'!$G$97,"yes","No")</f>
        <v>No</v>
      </c>
      <c r="K60" s="294">
        <v>0.67</v>
      </c>
      <c r="L60" s="294" t="s">
        <v>354</v>
      </c>
      <c r="M60" s="172">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8">
        <f>+IF(G60-1.01325&gt;10,10^('Equipment Data'!$I$104+LOG10(G60-1.01325)*'Equipment Data'!$J$104+'Equipment Data'!$K$104*LOG10(G60-1.01325)*LOG10(G60-1.01325)),1)</f>
        <v>1</v>
      </c>
      <c r="O60" s="169" t="s">
        <v>354</v>
      </c>
      <c r="P60" s="168">
        <f>+'Equipment Data'!$L$104</f>
        <v>2.17</v>
      </c>
      <c r="Q60" s="169">
        <f t="shared" si="5"/>
        <v>397.42916461151316</v>
      </c>
      <c r="R60" s="307"/>
      <c r="S60" s="312"/>
      <c r="T60" s="106"/>
      <c r="U60" s="105"/>
      <c r="V60" s="105"/>
      <c r="W60" s="105"/>
      <c r="X60" s="253"/>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2"/>
      <c r="D61" s="267" t="s">
        <v>523</v>
      </c>
      <c r="E61" s="267" t="s">
        <v>101</v>
      </c>
      <c r="F61" s="294">
        <v>1</v>
      </c>
      <c r="G61" s="294">
        <v>1</v>
      </c>
      <c r="H61" s="294" t="s">
        <v>473</v>
      </c>
      <c r="I61" s="294" t="s">
        <v>354</v>
      </c>
      <c r="J61" s="294" t="str">
        <f>+IF(F61&gt;'Equipment Data'!$G$98,"yes","No")</f>
        <v>yes</v>
      </c>
      <c r="K61" s="294">
        <v>0.67</v>
      </c>
      <c r="L61" s="294">
        <v>1</v>
      </c>
      <c r="M61" s="172">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8">
        <f>+IF(G61-1.01325&gt;10,10^('Equipment Data'!$I$105+LOG10(G61-1.01325)*'Equipment Data'!$J$105+'Equipment Data'!$K$105*LOG10(G61-1.01325)*LOG10(G61-1.01325)),1)</f>
        <v>1</v>
      </c>
      <c r="O61" s="168">
        <f>IF(L61="","Input Steam Superheat in ºC",1+0.00184*L61-0.00000335*L61*L61)</f>
        <v>1.00183665</v>
      </c>
      <c r="P61" s="168">
        <f>+'Equipment Data'!$L$105</f>
        <v>2.17</v>
      </c>
      <c r="Q61" s="169">
        <f>+M61*N61*P61*O61</f>
        <v>19904746.420936067</v>
      </c>
      <c r="R61" s="307"/>
      <c r="S61" s="312"/>
      <c r="T61" s="106"/>
      <c r="U61" s="105"/>
      <c r="V61" s="105"/>
      <c r="W61" s="105"/>
      <c r="X61" s="253"/>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7" t="s">
        <v>472</v>
      </c>
      <c r="E62" s="267" t="s">
        <v>105</v>
      </c>
      <c r="F62" s="294">
        <v>1</v>
      </c>
      <c r="G62" s="294">
        <v>1</v>
      </c>
      <c r="H62" s="294" t="s">
        <v>352</v>
      </c>
      <c r="I62" s="294" t="s">
        <v>85</v>
      </c>
      <c r="J62" s="294" t="str">
        <f>+IF(F62&gt;'Equipment Data'!$G$111,"yes","No")</f>
        <v>No</v>
      </c>
      <c r="K62" s="294">
        <v>0.67</v>
      </c>
      <c r="L62" s="294" t="s">
        <v>354</v>
      </c>
      <c r="M62" s="172">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8">
        <f>+IF(G62-1.01325&gt;10,10^('Equipment Data'!$I$111+LOG10(G62-1.01325)*'Equipment Data'!$J$111+'Equipment Data'!$K$111*LOG10(G62-1.01325)*LOG10(G62-1.01325)),1)</f>
        <v>1</v>
      </c>
      <c r="O62" s="240" t="s">
        <v>354</v>
      </c>
      <c r="P62" s="168">
        <f>+IF(I62="CS",'Equipment Data'!$C$229,IF(I62="Cu Alloy",'Equipment Data'!$D$229,IF(I62="SS",'Equipment Data'!$E$229,IF(I62="Ni Alloy",'Equipment Data'!$F$229,IF(I62="Ti",'Equipment Data'!$G$229,"N/A")))))</f>
        <v>2.9</v>
      </c>
      <c r="Q62" s="169">
        <f>+M62*N62*P62</f>
        <v>306335.97225509956</v>
      </c>
      <c r="R62" s="298"/>
      <c r="S62" s="223"/>
      <c r="T62" s="106"/>
      <c r="U62" s="105"/>
      <c r="V62" s="105"/>
      <c r="W62" s="105"/>
      <c r="X62" s="253"/>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7" t="s">
        <v>472</v>
      </c>
      <c r="E63" s="267" t="s">
        <v>106</v>
      </c>
      <c r="F63" s="294">
        <v>1</v>
      </c>
      <c r="G63" s="294">
        <v>1</v>
      </c>
      <c r="H63" s="294" t="s">
        <v>352</v>
      </c>
      <c r="I63" s="294" t="s">
        <v>85</v>
      </c>
      <c r="J63" s="294" t="str">
        <f>+IF(F63&gt;'Equipment Data'!$G$112,"yes","No")</f>
        <v>No</v>
      </c>
      <c r="K63" s="294">
        <v>0.67</v>
      </c>
      <c r="L63" s="294" t="s">
        <v>354</v>
      </c>
      <c r="M63" s="172">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8">
        <f>+IF(G63-1.01325&gt;10,10^('Equipment Data'!$I$112+LOG10(G63-1.01325)*'Equipment Data'!$J$112+'Equipment Data'!$K$112*LOG10(G63-1.01325)*LOG10(G63-1.01325)),1)</f>
        <v>1</v>
      </c>
      <c r="O63" s="240" t="s">
        <v>354</v>
      </c>
      <c r="P63" s="168">
        <f>+IF(I63="CS",'Equipment Data'!$C$230,IF(I63="Cu Alloy",'Equipment Data'!$D$230,IF(I63="SS",'Equipment Data'!$E$230,IF(I63="Ni Alloy",'Equipment Data'!$F$230,IF(I63="Ti",'Equipment Data'!$G$230,"N/A")))))</f>
        <v>2.25</v>
      </c>
      <c r="Q63" s="169">
        <f t="shared" ref="Q63:Q65" si="6">+M63*N63*P63</f>
        <v>18368.873279202722</v>
      </c>
      <c r="R63" s="295"/>
      <c r="S63" s="217"/>
      <c r="T63" s="106"/>
      <c r="U63" s="105"/>
      <c r="V63" s="105"/>
      <c r="W63" s="105"/>
      <c r="X63" s="253"/>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7" t="s">
        <v>472</v>
      </c>
      <c r="E64" s="267" t="s">
        <v>107</v>
      </c>
      <c r="F64" s="294">
        <v>1</v>
      </c>
      <c r="G64" s="294">
        <v>1</v>
      </c>
      <c r="H64" s="294" t="s">
        <v>352</v>
      </c>
      <c r="I64" s="294" t="s">
        <v>85</v>
      </c>
      <c r="J64" s="294" t="str">
        <f>+IF(F64&gt;'Equipment Data'!$G$113,"yes","No")</f>
        <v>No</v>
      </c>
      <c r="K64" s="294">
        <v>0.67</v>
      </c>
      <c r="L64" s="294" t="s">
        <v>354</v>
      </c>
      <c r="M64" s="172">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8">
        <f>+IF(G64-1.01325&gt;10,10^('Equipment Data'!$I$113+LOG10(G64-1.01325)*'Equipment Data'!$J$113+'Equipment Data'!$K$113*LOG10(G64-1.01325)*LOG10(G64-1.01325)),1)</f>
        <v>1</v>
      </c>
      <c r="O64" s="240" t="s">
        <v>354</v>
      </c>
      <c r="P64" s="168">
        <f>+IF(I64="CS",'Equipment Data'!$C$231,IF(I64="Cu Alloy",'Equipment Data'!$D$231,IF(I64="SS",'Equipment Data'!$E$231,IF(I64="Ni Alloy",'Equipment Data'!$F$231,IF(I64="Ti",'Equipment Data'!$G$231,"N/A")))))</f>
        <v>2.25</v>
      </c>
      <c r="Q64" s="169">
        <f t="shared" si="6"/>
        <v>225000</v>
      </c>
      <c r="R64" s="295"/>
      <c r="S64" s="217"/>
      <c r="T64" s="106"/>
      <c r="U64" s="105"/>
      <c r="V64" s="105"/>
      <c r="W64" s="105"/>
      <c r="X64" s="253"/>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7" t="s">
        <v>472</v>
      </c>
      <c r="E65" s="267" t="s">
        <v>108</v>
      </c>
      <c r="F65" s="294">
        <v>1</v>
      </c>
      <c r="G65" s="294">
        <v>1</v>
      </c>
      <c r="H65" s="294" t="s">
        <v>352</v>
      </c>
      <c r="I65" s="294" t="s">
        <v>85</v>
      </c>
      <c r="J65" s="294" t="str">
        <f>+IF(F65&gt;'Equipment Data'!$G$114,"yes","No")</f>
        <v>No</v>
      </c>
      <c r="K65" s="294">
        <v>0.67</v>
      </c>
      <c r="L65" s="294" t="s">
        <v>354</v>
      </c>
      <c r="M65" s="172">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8">
        <f>+IF(G65-1.01325&gt;10,10^('Equipment Data'!$I$114+LOG10(G65-1.01325)*'Equipment Data'!$J$114+'Equipment Data'!$K$114*LOG10(G65-1.01325)*LOG10(G65-1.01325)),1)</f>
        <v>1</v>
      </c>
      <c r="O65" s="240" t="s">
        <v>354</v>
      </c>
      <c r="P65" s="168">
        <f>+IF(I65="CS",'Equipment Data'!$C$232,IF(I65="Cu Alloy",'Equipment Data'!$D$232,IF(I65="SS",'Equipment Data'!$E$232,IF(I65="Ni Alloy",'Equipment Data'!$F$232,IF(I65="Ti",'Equipment Data'!$G$232,"N/A")))))</f>
        <v>2.9</v>
      </c>
      <c r="Q65" s="169">
        <f t="shared" si="6"/>
        <v>500032.2298190766</v>
      </c>
      <c r="R65" s="295"/>
      <c r="S65" s="217"/>
      <c r="T65" s="106"/>
      <c r="U65" s="105"/>
      <c r="V65" s="105"/>
      <c r="W65" s="105"/>
      <c r="X65" s="253"/>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7" t="s">
        <v>472</v>
      </c>
      <c r="E66" s="267" t="s">
        <v>109</v>
      </c>
      <c r="F66" s="294">
        <v>1</v>
      </c>
      <c r="G66" s="294">
        <v>1</v>
      </c>
      <c r="H66" s="294" t="s">
        <v>352</v>
      </c>
      <c r="I66" s="294" t="s">
        <v>85</v>
      </c>
      <c r="J66" s="294" t="str">
        <f>+IF(F66&gt;'Equipment Data'!$G$115,"yes","No")</f>
        <v>No</v>
      </c>
      <c r="K66" s="294">
        <v>0.67</v>
      </c>
      <c r="L66" s="294" t="s">
        <v>354</v>
      </c>
      <c r="M66" s="172">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8">
        <f>+IF(G66-1.01325&gt;10,10^('Equipment Data'!$I$115+LOG10(G66-1.01325)*'Equipment Data'!$J$115+'Equipment Data'!$K$115*LOG10(G66-1.01325)*LOG10(G66-1.01325)),1)</f>
        <v>1</v>
      </c>
      <c r="O66" s="240" t="s">
        <v>354</v>
      </c>
      <c r="P66" s="168">
        <f>+IF(I66="CS",'Equipment Data'!$C$233,IF(I66="Cu Alloy",'Equipment Data'!$D$233,IF(I66="SS",'Equipment Data'!$E$233,IF(I66="Ni Alloy",'Equipment Data'!$F$233,IF(I66="Ti",'Equipment Data'!$G$233,"N/A")))))</f>
        <v>2.9</v>
      </c>
      <c r="Q66" s="169">
        <f>+M66*N66*P66</f>
        <v>127173.90235474604</v>
      </c>
      <c r="R66" s="296"/>
      <c r="S66" s="225"/>
      <c r="T66" s="106"/>
      <c r="U66" s="105"/>
      <c r="V66" s="105"/>
      <c r="W66" s="105"/>
      <c r="X66" s="253"/>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301"/>
      <c r="D67" s="267" t="s">
        <v>252</v>
      </c>
      <c r="E67" s="267" t="s">
        <v>113</v>
      </c>
      <c r="F67" s="294">
        <v>1</v>
      </c>
      <c r="G67" s="294">
        <v>1</v>
      </c>
      <c r="H67" s="294" t="s">
        <v>352</v>
      </c>
      <c r="I67" s="294" t="s">
        <v>530</v>
      </c>
      <c r="J67" s="294" t="str">
        <f>+IF(F67&gt;'Equipment Data'!$L$120,"yes","No")</f>
        <v>No</v>
      </c>
      <c r="K67" s="294">
        <v>0.67</v>
      </c>
      <c r="L67" s="294" t="s">
        <v>354</v>
      </c>
      <c r="M67" s="172">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8">
        <f>+IF((G67-1.01325)&gt;40,IF((G67-1.01325)&lt;100,10^('Equipment Data'!$F$121+'Equipment Data'!$G$121*LOG10(G67-1.01325)+'Equipment Data'!$H$121*LOG10(G67-1.01325)*LOG10(G67-1.01325)),IF((G67-1.01325)&gt;100,10^('Equipment Data'!$F$120+'Equipment Data'!$G$120*LOG10(G67-1.01325)+'Equipment Data'!$H$120*LOG10(G67-1.01325)*LOG10(G67-1.01325)))),1)</f>
        <v>1</v>
      </c>
      <c r="O67" s="294">
        <f>+IF(I67="CS/CS",'Equipment Data'!$C$147,IF(I67="CS/Cu",'Equipment Data'!$D$147,IF(I67="Cu/Cu",'Equipment Data'!$E$147,IF(I67="CS/SS",'Equipment Data'!$F$147,IF(I67="SS/SS",'Equipment Data'!$G$147,IF(I67="CS/Ni",'Equipment Data'!$H$147,IF(I67="Ni/Ni",'Equipment Data'!$I$147,IF(I67="CS/Ti",'Equipment Data'!$J$147,IF(I67="Ti/Ti",'Equipment Data'!$K$147,"N/A")))))))))</f>
        <v>1</v>
      </c>
      <c r="P67" s="168">
        <f>+'Equipment Data'!$I$120+'Equipment Data'!$J$120*N67*O67</f>
        <v>3.29</v>
      </c>
      <c r="Q67" s="169">
        <f>+M67*P67</f>
        <v>7271.0293540788207</v>
      </c>
      <c r="R67" s="305"/>
      <c r="S67" s="311"/>
      <c r="T67" s="106"/>
      <c r="U67" s="105"/>
      <c r="V67" s="105"/>
      <c r="W67" s="105"/>
      <c r="X67" s="253"/>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2"/>
      <c r="D68" s="267" t="s">
        <v>252</v>
      </c>
      <c r="E68" s="267" t="s">
        <v>116</v>
      </c>
      <c r="F68" s="294">
        <v>1</v>
      </c>
      <c r="G68" s="294">
        <v>1</v>
      </c>
      <c r="H68" s="294" t="s">
        <v>352</v>
      </c>
      <c r="I68" s="294" t="s">
        <v>530</v>
      </c>
      <c r="J68" s="294" t="str">
        <f>+IF(F68&gt;'Equipment Data'!$L$123,"yes","No")</f>
        <v>No</v>
      </c>
      <c r="K68" s="294">
        <v>0.67</v>
      </c>
      <c r="L68" s="294" t="s">
        <v>354</v>
      </c>
      <c r="M68" s="172">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8">
        <f>+IF((G68-1.01325)&gt;40,IF((G68-1.01325)&lt;100,10^('Equipment Data'!$F$122+'Equipment Data'!$G$122*LOG10(G68-1.01325)+'Equipment Data'!$H$122*LOG10(G68-1.01325)*LOG10(G68-1.01325)),IF((G68-1.01325)&gt;100,10^('Equipment Data'!$F$121+'Equipment Data'!$G$121*LOG10(G68-1.01325)+'Equipment Data'!$H$121*LOG10(G68-1.01325)*LOG10(G68-1.01325)))),1)</f>
        <v>1</v>
      </c>
      <c r="O68" s="294">
        <f>+IF(I68="CS/CS",'Equipment Data'!$C$148,IF(I68="CS/Cu",'Equipment Data'!$D$148,IF(I68="Cu/Cu",'Equipment Data'!$E$148,IF(I68="CS/SS",'Equipment Data'!$F$148,IF(I68="SS/SS",'Equipment Data'!$G$148,IF(I68="CS/Ni",'Equipment Data'!$H$148,IF(I68="Ni/Ni",'Equipment Data'!$I$148,IF(I68="CS/Ti",'Equipment Data'!$J$148,IF(I68="Ti/Ti",'Equipment Data'!$K$148,"N/A")))))))))</f>
        <v>1</v>
      </c>
      <c r="P68" s="168">
        <f>+'Equipment Data'!$I$123+'Equipment Data'!$J$123*N68*O68</f>
        <v>3.29</v>
      </c>
      <c r="Q68" s="169">
        <f t="shared" ref="Q68:Q78" si="7">+M68*P68</f>
        <v>1916.001734734944</v>
      </c>
      <c r="R68" s="307"/>
      <c r="S68" s="312"/>
      <c r="T68" s="106"/>
      <c r="U68" s="105"/>
      <c r="V68" s="105"/>
      <c r="W68" s="105"/>
      <c r="X68" s="253"/>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2"/>
      <c r="D69" s="267" t="s">
        <v>252</v>
      </c>
      <c r="E69" s="267" t="s">
        <v>117</v>
      </c>
      <c r="F69" s="294">
        <v>1</v>
      </c>
      <c r="G69" s="294">
        <v>1</v>
      </c>
      <c r="H69" s="294" t="s">
        <v>352</v>
      </c>
      <c r="I69" s="294" t="s">
        <v>530</v>
      </c>
      <c r="J69" s="294" t="str">
        <f>+IF(F69&gt;'Equipment Data'!$L$126,"yes","No")</f>
        <v>No</v>
      </c>
      <c r="K69" s="294">
        <v>0.67</v>
      </c>
      <c r="L69" s="294" t="s">
        <v>529</v>
      </c>
      <c r="M69" s="172">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8">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4">
        <f>+IF(I69="CS/CS",'Equipment Data'!$C$149,IF(I69="CS/Cu",'Equipment Data'!$D$149,IF(I69="Cu/Cu",'Equipment Data'!$E$149,IF(I69="CS/SS",'Equipment Data'!$F$149,IF(I69="SS/SS",'Equipment Data'!$G$149,IF(I69="CS/Ni",'Equipment Data'!$H$149,IF(I69="Ni/Ni",'Equipment Data'!$I$149,IF(I69="CS/Ti",'Equipment Data'!$J$149,IF(I69="Ti/Ti",'Equipment Data'!$K$149,"N/A")))))))))</f>
        <v>1</v>
      </c>
      <c r="P69" s="168">
        <f>+'Equipment Data'!$I$126+'Equipment Data'!$J$126*N69*O69</f>
        <v>3.29</v>
      </c>
      <c r="Q69" s="169">
        <f t="shared" si="7"/>
        <v>69485.773756467606</v>
      </c>
      <c r="R69" s="307"/>
      <c r="S69" s="312"/>
      <c r="T69" s="106"/>
      <c r="U69" s="105"/>
      <c r="V69" s="105"/>
      <c r="W69" s="83"/>
      <c r="X69" s="1"/>
      <c r="CI69" s="83"/>
      <c r="CJ69" s="83"/>
      <c r="CK69" s="83"/>
      <c r="CL69" s="83"/>
      <c r="CM69" s="83"/>
      <c r="CN69" s="83"/>
      <c r="CO69" s="83"/>
    </row>
    <row r="70" spans="1:93" x14ac:dyDescent="0.3">
      <c r="A70" s="83"/>
      <c r="B70" s="104"/>
      <c r="C70" s="302"/>
      <c r="D70" s="267" t="s">
        <v>252</v>
      </c>
      <c r="E70" s="267" t="s">
        <v>119</v>
      </c>
      <c r="F70" s="294">
        <v>1</v>
      </c>
      <c r="G70" s="294">
        <v>1</v>
      </c>
      <c r="H70" s="294" t="s">
        <v>352</v>
      </c>
      <c r="I70" s="294" t="s">
        <v>530</v>
      </c>
      <c r="J70" s="294" t="str">
        <f>+IF(F70&gt;'Equipment Data'!$L$128,"yes","No")</f>
        <v>No</v>
      </c>
      <c r="K70" s="294">
        <v>0.67</v>
      </c>
      <c r="L70" s="294" t="s">
        <v>529</v>
      </c>
      <c r="M70" s="172">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8">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4">
        <f>+IF(I70="CS/CS",'Equipment Data'!$C$150,IF(I70="CS/Cu",'Equipment Data'!$D$150,IF(I70="Cu/Cu",'Equipment Data'!$E$150,IF(I70="CS/SS",'Equipment Data'!$F$150,IF(I70="SS/SS",'Equipment Data'!$G$150,IF(I70="CS/Ni",'Equipment Data'!$H$150,IF(I70="Ni/Ni",'Equipment Data'!$I$150,IF(I70="CS/Ti",'Equipment Data'!$J$150,IF(I70="Ti/Ti",'Equipment Data'!$K$150,"N/A")))))))))</f>
        <v>1</v>
      </c>
      <c r="P70" s="168">
        <f>+'Equipment Data'!$I$128+'Equipment Data'!$J$128*N70*O70</f>
        <v>3.29</v>
      </c>
      <c r="Q70" s="169">
        <f t="shared" si="7"/>
        <v>222738.81147305027</v>
      </c>
      <c r="R70" s="307"/>
      <c r="S70" s="312"/>
      <c r="T70" s="106"/>
      <c r="U70" s="105"/>
      <c r="V70" s="105"/>
      <c r="W70" s="83"/>
      <c r="X70" s="1"/>
      <c r="CI70" s="83"/>
      <c r="CJ70" s="83"/>
      <c r="CK70" s="83"/>
      <c r="CL70" s="83"/>
      <c r="CM70" s="83"/>
      <c r="CN70" s="83"/>
      <c r="CO70" s="83"/>
    </row>
    <row r="71" spans="1:93" x14ac:dyDescent="0.3">
      <c r="A71" s="83"/>
      <c r="B71" s="104"/>
      <c r="C71" s="302"/>
      <c r="D71" s="267" t="s">
        <v>252</v>
      </c>
      <c r="E71" s="267" t="s">
        <v>121</v>
      </c>
      <c r="F71" s="294">
        <v>1</v>
      </c>
      <c r="G71" s="294">
        <v>1</v>
      </c>
      <c r="H71" s="294" t="s">
        <v>352</v>
      </c>
      <c r="I71" s="294" t="s">
        <v>530</v>
      </c>
      <c r="J71" s="294" t="str">
        <f>+IF(F71&gt;'Equipment Data'!$L$130,"yes","No")</f>
        <v>No</v>
      </c>
      <c r="K71" s="294">
        <v>0.67</v>
      </c>
      <c r="L71" s="294" t="s">
        <v>529</v>
      </c>
      <c r="M71" s="172">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8">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4">
        <f>+IF(I71="CS/CS",'Equipment Data'!$C$151,IF(I71="CS/Cu",'Equipment Data'!$D$151,IF(I71="Cu/Cu",'Equipment Data'!$E$151,IF(I71="CS/SS",'Equipment Data'!$F$151,IF(I71="SS/SS",'Equipment Data'!$G$151,IF(I71="CS/Ni",'Equipment Data'!$H$151,IF(I71="Ni/Ni",'Equipment Data'!$I$151,IF(I71="CS/Ti",'Equipment Data'!$J$151,IF(I71="Ti/Ti",'Equipment Data'!$K$151,"N/A")))))))))</f>
        <v>1</v>
      </c>
      <c r="P71" s="168">
        <f>+'Equipment Data'!$I$130+'Equipment Data'!$J$130*N71*O71</f>
        <v>3.29</v>
      </c>
      <c r="Q71" s="169">
        <f t="shared" si="7"/>
        <v>62229.440737206161</v>
      </c>
      <c r="R71" s="307"/>
      <c r="S71" s="312"/>
      <c r="T71" s="106"/>
      <c r="U71" s="105"/>
      <c r="V71" s="105"/>
      <c r="W71" s="83"/>
      <c r="X71" s="1"/>
      <c r="CI71" s="83"/>
      <c r="CJ71" s="83"/>
      <c r="CK71" s="83"/>
      <c r="CL71" s="83"/>
      <c r="CM71" s="83"/>
      <c r="CN71" s="83"/>
      <c r="CO71" s="83"/>
    </row>
    <row r="72" spans="1:93" x14ac:dyDescent="0.3">
      <c r="A72" s="83"/>
      <c r="B72" s="104"/>
      <c r="C72" s="302"/>
      <c r="D72" s="267" t="s">
        <v>252</v>
      </c>
      <c r="E72" s="267" t="s">
        <v>122</v>
      </c>
      <c r="F72" s="294">
        <v>1</v>
      </c>
      <c r="G72" s="294">
        <v>1</v>
      </c>
      <c r="H72" s="294" t="s">
        <v>352</v>
      </c>
      <c r="I72" s="294" t="s">
        <v>530</v>
      </c>
      <c r="J72" s="294" t="str">
        <f>+IF(F72&gt;'Equipment Data'!$L$132,"yes","No")</f>
        <v>No</v>
      </c>
      <c r="K72" s="294">
        <v>0.67</v>
      </c>
      <c r="L72" s="294" t="s">
        <v>529</v>
      </c>
      <c r="M72" s="172">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8">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4">
        <f>+IF(I72="CS/CS",'Equipment Data'!$C$152,IF(I72="CS/Cu",'Equipment Data'!$D$152,IF(I72="Cu/Cu",'Equipment Data'!$E$152,IF(I72="CS/SS",'Equipment Data'!$F$152,IF(I72="SS/SS",'Equipment Data'!$G$152,IF(I72="CS/Ni",'Equipment Data'!$H$152,IF(I72="Ni/Ni",'Equipment Data'!$I$152,IF(I72="CS/Ti",'Equipment Data'!$J$152,IF(I72="Ti/Ti",'Equipment Data'!$K$152,"N/A")))))))))</f>
        <v>1</v>
      </c>
      <c r="P72" s="168">
        <f>+'Equipment Data'!$I$132+'Equipment Data'!$J$132*N72*O72</f>
        <v>3.29</v>
      </c>
      <c r="Q72" s="169">
        <f t="shared" si="7"/>
        <v>95894.985528444595</v>
      </c>
      <c r="R72" s="307"/>
      <c r="S72" s="312"/>
      <c r="T72" s="106"/>
      <c r="U72" s="105"/>
      <c r="V72" s="105"/>
      <c r="W72" s="83"/>
      <c r="X72" s="1"/>
      <c r="CI72" s="83"/>
      <c r="CJ72" s="83"/>
      <c r="CK72" s="83"/>
      <c r="CL72" s="83"/>
      <c r="CM72" s="83"/>
      <c r="CN72" s="83"/>
      <c r="CO72" s="83"/>
    </row>
    <row r="73" spans="1:93" x14ac:dyDescent="0.3">
      <c r="A73" s="83"/>
      <c r="B73" s="104"/>
      <c r="C73" s="302"/>
      <c r="D73" s="267" t="s">
        <v>252</v>
      </c>
      <c r="E73" s="267" t="s">
        <v>123</v>
      </c>
      <c r="F73" s="294">
        <v>1</v>
      </c>
      <c r="G73" s="294">
        <v>1</v>
      </c>
      <c r="H73" s="294" t="s">
        <v>352</v>
      </c>
      <c r="I73" s="294" t="s">
        <v>530</v>
      </c>
      <c r="J73" s="294" t="str">
        <f>+IF(F73&gt;'Equipment Data'!$L$134,"yes","No")</f>
        <v>No</v>
      </c>
      <c r="K73" s="294">
        <v>0.67</v>
      </c>
      <c r="L73" s="294" t="s">
        <v>354</v>
      </c>
      <c r="M73" s="172">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8">
        <f>+IF((G73-1.01325)&gt;40,IF((G73-1.01325)&lt;100,10^('Equipment Data'!$F$134+'Equipment Data'!$G$134*LOG10(G73-1.01325)+'Equipment Data'!$H$134*LOG10(G73-1.01325)*LOG10(G73-1.01325)),IF((G73-1.01325)&gt;100,10^('Equipment Data'!$F$133+'Equipment Data'!$G$133*LOG10(G73-1.01325)+'Equipment Data'!$H$133*LOG10(G73-1.01325)*LOG10(G73-1.01325)))),1)</f>
        <v>1</v>
      </c>
      <c r="O73" s="294">
        <f>+IF(I73="CS/CS",'Equipment Data'!$C$153,IF(I73="CS/Cu",'Equipment Data'!$D$153,IF(I73="Cu/Cu",'Equipment Data'!$E$153,IF(I73="CS/SS",'Equipment Data'!$F$153,IF(I73="SS/SS",'Equipment Data'!$G$153,IF(I73="CS/Ni",'Equipment Data'!$H$153,IF(I73="Ni/Ni",'Equipment Data'!$I$153,IF(I73="CS/Ti",'Equipment Data'!$J$153,IF(I73="Ti/Ti",'Equipment Data'!$K$153,"N/A")))))))))</f>
        <v>1</v>
      </c>
      <c r="P73" s="168">
        <f>+'Equipment Data'!$I$134+'Equipment Data'!$J$134*N73*O73</f>
        <v>3.29</v>
      </c>
      <c r="Q73" s="169">
        <f t="shared" si="7"/>
        <v>19837.909192094801</v>
      </c>
      <c r="R73" s="307"/>
      <c r="S73" s="312"/>
      <c r="T73" s="106"/>
      <c r="U73" s="105"/>
      <c r="V73" s="105"/>
      <c r="W73" s="83"/>
      <c r="X73" s="1"/>
      <c r="CI73" s="83"/>
      <c r="CJ73" s="83"/>
      <c r="CK73" s="83"/>
      <c r="CL73" s="83"/>
      <c r="CM73" s="83"/>
      <c r="CN73" s="83"/>
      <c r="CO73" s="83"/>
    </row>
    <row r="74" spans="1:93" x14ac:dyDescent="0.3">
      <c r="A74" s="83"/>
      <c r="B74" s="104"/>
      <c r="C74" s="302"/>
      <c r="D74" s="267" t="s">
        <v>252</v>
      </c>
      <c r="E74" s="267" t="s">
        <v>124</v>
      </c>
      <c r="F74" s="294">
        <v>1</v>
      </c>
      <c r="G74" s="294">
        <v>1</v>
      </c>
      <c r="H74" s="294" t="s">
        <v>352</v>
      </c>
      <c r="I74" s="294" t="s">
        <v>85</v>
      </c>
      <c r="J74" s="294" t="str">
        <f>+IF(F74&gt;'Equipment Data'!$L$137,"yes","No")</f>
        <v>No</v>
      </c>
      <c r="K74" s="294">
        <v>0.67</v>
      </c>
      <c r="L74" s="294" t="s">
        <v>354</v>
      </c>
      <c r="M74" s="172">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8">
        <v>1</v>
      </c>
      <c r="O74" s="294">
        <f>+IF(I74="CS",'Equipment Data'!$C$158,IF(I74="Cu",'Equipment Data'!$D$158,IF(I74="SS",'Equipment Data'!$E$158,IF(I74="Ni",'Equipment Data'!$F$158,IF(I74="Ti",'Equipment Data'!$G$158,"N/A")))))</f>
        <v>1</v>
      </c>
      <c r="P74" s="168">
        <f>+'Equipment Data'!$I$137+'Equipment Data'!$J$137*N74*O74</f>
        <v>3.29</v>
      </c>
      <c r="Q74" s="169">
        <f t="shared" si="7"/>
        <v>21056.970948365411</v>
      </c>
      <c r="R74" s="307"/>
      <c r="S74" s="312"/>
      <c r="T74" s="106"/>
      <c r="U74" s="105"/>
      <c r="V74" s="105"/>
      <c r="W74" s="83"/>
      <c r="X74" s="1"/>
      <c r="CI74" s="83"/>
      <c r="CJ74" s="83"/>
      <c r="CK74" s="83"/>
      <c r="CL74" s="83"/>
      <c r="CM74" s="83"/>
      <c r="CN74" s="83"/>
      <c r="CO74" s="83"/>
    </row>
    <row r="75" spans="1:93" x14ac:dyDescent="0.3">
      <c r="A75" s="83"/>
      <c r="B75" s="104"/>
      <c r="C75" s="302"/>
      <c r="D75" s="267" t="s">
        <v>252</v>
      </c>
      <c r="E75" s="267" t="s">
        <v>125</v>
      </c>
      <c r="F75" s="294">
        <v>1</v>
      </c>
      <c r="G75" s="294">
        <v>1</v>
      </c>
      <c r="H75" s="294" t="s">
        <v>352</v>
      </c>
      <c r="I75" s="294" t="s">
        <v>85</v>
      </c>
      <c r="J75" s="294" t="str">
        <f>+IF(F75&gt;'Equipment Data'!$L$138,"yes","No")</f>
        <v>No</v>
      </c>
      <c r="K75" s="294">
        <v>0.67</v>
      </c>
      <c r="L75" s="294" t="s">
        <v>354</v>
      </c>
      <c r="M75" s="172">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8">
        <f>+IF(G75-1.01325&gt;10,10^('Equipment Data'!$F$138+'Equipment Data'!$G$138*LOG10(G75-1.01325)+'Equipment Data'!$H$138*LOG10(G75-1.01325)*LOG10(G75-1.01325)),1)</f>
        <v>1</v>
      </c>
      <c r="O75" s="294">
        <f>+IF(I75="CS",'Equipment Data'!$C$167,IF(I75="Al",'Equipment Data'!$D$167,IF(I75="SS",'Equipment Data'!$E$167,"N/A")))</f>
        <v>1</v>
      </c>
      <c r="P75" s="168">
        <f>+'Equipment Data'!$I$128+'Equipment Data'!$J$128*N75*O75</f>
        <v>3.29</v>
      </c>
      <c r="Q75" s="169">
        <f t="shared" si="7"/>
        <v>35546.422451013517</v>
      </c>
      <c r="R75" s="307"/>
      <c r="S75" s="312"/>
      <c r="T75" s="106"/>
      <c r="U75" s="105"/>
      <c r="V75" s="105"/>
      <c r="W75" s="83"/>
      <c r="X75" s="1"/>
      <c r="CI75" s="83"/>
      <c r="CJ75" s="83"/>
      <c r="CK75" s="83"/>
      <c r="CL75" s="83"/>
      <c r="CM75" s="83"/>
      <c r="CN75" s="83"/>
      <c r="CO75" s="83"/>
    </row>
    <row r="76" spans="1:93" x14ac:dyDescent="0.3">
      <c r="A76" s="83"/>
      <c r="B76" s="104"/>
      <c r="C76" s="302"/>
      <c r="D76" s="267" t="s">
        <v>252</v>
      </c>
      <c r="E76" s="267" t="s">
        <v>137</v>
      </c>
      <c r="F76" s="294">
        <v>1</v>
      </c>
      <c r="G76" s="294">
        <v>1</v>
      </c>
      <c r="H76" s="294" t="s">
        <v>352</v>
      </c>
      <c r="I76" s="294" t="s">
        <v>530</v>
      </c>
      <c r="J76" s="294" t="str">
        <f>+IF(F76&gt;'Equipment Data'!$L$139,"yes","No")</f>
        <v>No</v>
      </c>
      <c r="K76" s="294">
        <v>0.67</v>
      </c>
      <c r="L76" s="294" t="s">
        <v>529</v>
      </c>
      <c r="M76" s="172">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8">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4">
        <f>+IF(I76="CS/CS",'Equipment Data'!$C$154,IF(I76="CS/Cu",'Equipment Data'!$D$154,IF(I76="Cu/Cu",'Equipment Data'!$E$154,IF(I76="CS/SS",'Equipment Data'!$F$154,IF(I76="SS/SS",'Equipment Data'!$G$154,IF(I76="CS/Ni",'Equipment Data'!$H$154,IF(I76="Ni/Ni",'Equipment Data'!$I$154,IF(I76="CS/Ti",'Equipment Data'!$J$154,IF(I76="Ti/Ti",'Equipment Data'!$K$154,"N/A")))))))))</f>
        <v>1</v>
      </c>
      <c r="P76" s="168">
        <f>+'Equipment Data'!$I$139+'Equipment Data'!$J$139*N76*O76</f>
        <v>3.29</v>
      </c>
      <c r="Q76" s="169">
        <f t="shared" si="7"/>
        <v>32240.064200045108</v>
      </c>
      <c r="R76" s="307"/>
      <c r="S76" s="312"/>
      <c r="T76" s="106"/>
      <c r="U76" s="105"/>
      <c r="V76" s="105"/>
      <c r="W76" s="83"/>
      <c r="X76" s="1"/>
      <c r="CI76" s="83"/>
      <c r="CJ76" s="83"/>
      <c r="CK76" s="83"/>
      <c r="CL76" s="83"/>
      <c r="CM76" s="83"/>
      <c r="CN76" s="83"/>
      <c r="CO76" s="83"/>
    </row>
    <row r="77" spans="1:93" x14ac:dyDescent="0.3">
      <c r="A77" s="83"/>
      <c r="B77" s="104"/>
      <c r="C77" s="302"/>
      <c r="D77" s="267" t="s">
        <v>252</v>
      </c>
      <c r="E77" s="267" t="s">
        <v>128</v>
      </c>
      <c r="F77" s="294">
        <v>1</v>
      </c>
      <c r="G77" s="294">
        <v>1</v>
      </c>
      <c r="H77" s="294" t="s">
        <v>352</v>
      </c>
      <c r="I77" s="294" t="s">
        <v>85</v>
      </c>
      <c r="J77" s="294" t="str">
        <f>+IF(F77&gt;'Equipment Data'!$L$141,"yes","No")</f>
        <v>No</v>
      </c>
      <c r="K77" s="294">
        <v>0.67</v>
      </c>
      <c r="L77" s="294" t="s">
        <v>354</v>
      </c>
      <c r="M77" s="172">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8">
        <v>1</v>
      </c>
      <c r="O77" s="294">
        <f>+IF(I77="CS",'Equipment Data'!$C$162,IF(I77="Cu",'Equipment Data'!$D$162,IF(I77="SS",'Equipment Data'!$E$162,IF(I77="Ni",'Equipment Data'!$F$162,IF(I77="Ti",'Equipment Data'!$G$162,"N/A")))))</f>
        <v>1</v>
      </c>
      <c r="P77" s="168">
        <f>+'Equipment Data'!$I$141+'Equipment Data'!$J$141*N77*O77</f>
        <v>2.17</v>
      </c>
      <c r="Q77" s="169">
        <f t="shared" si="7"/>
        <v>98301.406968796393</v>
      </c>
      <c r="R77" s="307"/>
      <c r="S77" s="312"/>
      <c r="T77" s="106"/>
      <c r="U77" s="105"/>
      <c r="V77" s="105"/>
      <c r="W77" s="83"/>
      <c r="X77" s="1"/>
      <c r="CI77" s="83"/>
      <c r="CJ77" s="83"/>
      <c r="CK77" s="83"/>
      <c r="CL77" s="83"/>
      <c r="CM77" s="83"/>
      <c r="CN77" s="83"/>
      <c r="CO77" s="83"/>
    </row>
    <row r="78" spans="1:93" x14ac:dyDescent="0.3">
      <c r="A78" s="83"/>
      <c r="B78" s="104"/>
      <c r="C78" s="302"/>
      <c r="D78" s="267" t="s">
        <v>252</v>
      </c>
      <c r="E78" s="267" t="s">
        <v>129</v>
      </c>
      <c r="F78" s="294">
        <v>1</v>
      </c>
      <c r="G78" s="294">
        <v>1</v>
      </c>
      <c r="H78" s="294" t="s">
        <v>352</v>
      </c>
      <c r="I78" s="294" t="s">
        <v>85</v>
      </c>
      <c r="J78" s="294" t="str">
        <f>+IF(F78&gt;'Equipment Data'!$L$142,"yes","No")</f>
        <v>No</v>
      </c>
      <c r="K78" s="294">
        <v>0.67</v>
      </c>
      <c r="L78" s="294" t="s">
        <v>354</v>
      </c>
      <c r="M78" s="172">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8">
        <v>1</v>
      </c>
      <c r="O78" s="294">
        <f>+IF(I78="CS",'Equipment Data'!$C$163,IF(I78="Cu",'Equipment Data'!$D$163,IF(I78="SS",'Equipment Data'!$E$163,IF(I78="Ni",'Equipment Data'!$F$163,IF(I78="Ti",'Equipment Data'!$G$163,"N/A")))))</f>
        <v>1</v>
      </c>
      <c r="P78" s="168">
        <f>+'Equipment Data'!$I$142+'Equipment Data'!$J$142*N78*O78</f>
        <v>2.17</v>
      </c>
      <c r="Q78" s="169">
        <f t="shared" si="7"/>
        <v>100475.39769168713</v>
      </c>
      <c r="R78" s="307"/>
      <c r="S78" s="312"/>
      <c r="T78" s="106"/>
      <c r="U78" s="105"/>
      <c r="V78" s="105"/>
      <c r="W78" s="83"/>
      <c r="X78" s="1"/>
      <c r="CI78" s="83"/>
      <c r="CJ78" s="83"/>
      <c r="CK78" s="83"/>
      <c r="CL78" s="83"/>
      <c r="CM78" s="83"/>
      <c r="CN78" s="83"/>
      <c r="CO78" s="83"/>
    </row>
    <row r="79" spans="1:93" x14ac:dyDescent="0.3">
      <c r="A79" s="83"/>
      <c r="B79" s="104"/>
      <c r="C79" s="218"/>
      <c r="D79" s="267" t="s">
        <v>525</v>
      </c>
      <c r="E79" s="267" t="s">
        <v>146</v>
      </c>
      <c r="F79" s="294">
        <v>1</v>
      </c>
      <c r="G79" s="294" t="s">
        <v>354</v>
      </c>
      <c r="H79" s="294" t="s">
        <v>473</v>
      </c>
      <c r="I79" s="294" t="s">
        <v>354</v>
      </c>
      <c r="J79" s="294" t="str">
        <f>+IF(F79&gt;'Equipment Data'!$G$172,"yes","No")</f>
        <v>No</v>
      </c>
      <c r="K79" s="294">
        <v>0.67</v>
      </c>
      <c r="L79" s="294" t="s">
        <v>354</v>
      </c>
      <c r="M79" s="172">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4" t="s">
        <v>354</v>
      </c>
      <c r="O79" s="294" t="s">
        <v>354</v>
      </c>
      <c r="P79" s="294">
        <f>+'Equipment Data'!$H$172</f>
        <v>1.38</v>
      </c>
      <c r="Q79" s="169">
        <f>+M79*P79</f>
        <v>9794.4281887035741</v>
      </c>
      <c r="R79" s="298"/>
      <c r="S79" s="223"/>
      <c r="T79" s="106"/>
      <c r="U79" s="105"/>
      <c r="V79" s="105"/>
      <c r="W79" s="83"/>
      <c r="X79" s="1"/>
      <c r="CI79" s="83"/>
      <c r="CJ79" s="83"/>
      <c r="CK79" s="83"/>
      <c r="CL79" s="83"/>
      <c r="CM79" s="83"/>
      <c r="CN79" s="83"/>
      <c r="CO79" s="83"/>
    </row>
    <row r="80" spans="1:93" x14ac:dyDescent="0.3">
      <c r="A80" s="83"/>
      <c r="B80" s="104"/>
      <c r="C80" s="216"/>
      <c r="D80" s="267" t="s">
        <v>525</v>
      </c>
      <c r="E80" s="267" t="s">
        <v>147</v>
      </c>
      <c r="F80" s="294">
        <v>1</v>
      </c>
      <c r="G80" s="294" t="s">
        <v>354</v>
      </c>
      <c r="H80" s="294" t="s">
        <v>473</v>
      </c>
      <c r="I80" s="294" t="s">
        <v>354</v>
      </c>
      <c r="J80" s="294" t="str">
        <f>+IF(F80&gt;'Equipment Data'!$G$173,"yes","No")</f>
        <v>No</v>
      </c>
      <c r="K80" s="294">
        <v>0.67</v>
      </c>
      <c r="L80" s="294" t="s">
        <v>354</v>
      </c>
      <c r="M80" s="172">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4" t="s">
        <v>354</v>
      </c>
      <c r="O80" s="294" t="s">
        <v>354</v>
      </c>
      <c r="P80" s="294">
        <f>+'Equipment Data'!$H$173</f>
        <v>1.38</v>
      </c>
      <c r="Q80" s="169">
        <f>+P80*M80</f>
        <v>28878.796233382836</v>
      </c>
      <c r="R80" s="295"/>
      <c r="S80" s="217"/>
      <c r="T80" s="106"/>
      <c r="U80" s="105"/>
      <c r="V80" s="105"/>
      <c r="W80" s="83"/>
      <c r="X80" s="1"/>
      <c r="CI80" s="83"/>
      <c r="CJ80" s="83"/>
      <c r="CK80" s="83"/>
      <c r="CL80" s="83"/>
      <c r="CM80" s="83"/>
      <c r="CN80" s="83"/>
      <c r="CO80" s="83"/>
    </row>
    <row r="81" spans="1:93" x14ac:dyDescent="0.3">
      <c r="A81" s="83"/>
      <c r="B81" s="104"/>
      <c r="C81" s="216"/>
      <c r="D81" s="267" t="s">
        <v>525</v>
      </c>
      <c r="E81" s="267" t="s">
        <v>148</v>
      </c>
      <c r="F81" s="294">
        <v>1</v>
      </c>
      <c r="G81" s="294" t="s">
        <v>354</v>
      </c>
      <c r="H81" s="294" t="s">
        <v>473</v>
      </c>
      <c r="I81" s="294" t="s">
        <v>354</v>
      </c>
      <c r="J81" s="294" t="str">
        <f>+IF(F81&gt;'Equipment Data'!$G$174,"yes","No")</f>
        <v>No</v>
      </c>
      <c r="K81" s="294">
        <v>0.67</v>
      </c>
      <c r="L81" s="294" t="s">
        <v>354</v>
      </c>
      <c r="M81" s="172">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4" t="s">
        <v>354</v>
      </c>
      <c r="O81" s="294" t="s">
        <v>354</v>
      </c>
      <c r="P81" s="294">
        <f>+'Equipment Data'!$H$174</f>
        <v>1.38</v>
      </c>
      <c r="Q81" s="169">
        <f>+P81*M81</f>
        <v>3540.6181099081195</v>
      </c>
      <c r="R81" s="295"/>
      <c r="S81" s="217"/>
      <c r="T81" s="106"/>
      <c r="U81" s="105"/>
      <c r="V81" s="105"/>
      <c r="W81" s="83"/>
      <c r="X81" s="1"/>
      <c r="CI81" s="83"/>
      <c r="CJ81" s="83"/>
      <c r="CK81" s="83"/>
      <c r="CL81" s="83"/>
      <c r="CM81" s="83"/>
      <c r="CN81" s="83"/>
      <c r="CO81" s="83"/>
    </row>
    <row r="82" spans="1:93" x14ac:dyDescent="0.3">
      <c r="A82" s="83"/>
      <c r="B82" s="104"/>
      <c r="C82" s="301"/>
      <c r="D82" s="267" t="s">
        <v>269</v>
      </c>
      <c r="E82" s="267" t="s">
        <v>156</v>
      </c>
      <c r="F82" s="294">
        <v>1</v>
      </c>
      <c r="G82" s="294">
        <v>1</v>
      </c>
      <c r="H82" s="294" t="s">
        <v>473</v>
      </c>
      <c r="I82" s="294" t="s">
        <v>85</v>
      </c>
      <c r="J82" s="294" t="str">
        <f>+IF(F82&gt;'Equipment Data'!$S$179,"yes","No")</f>
        <v>No</v>
      </c>
      <c r="K82" s="294">
        <v>0.67</v>
      </c>
      <c r="L82" s="294" t="s">
        <v>354</v>
      </c>
      <c r="M82" s="172">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7">
        <f>+IF(G82-1.01325&gt;10,10^('Equipment Data'!$F$179+'Equipment Data'!$G$179*LOG10(G82-1.01325)+'Equipment Data'!$H$179*LOG10(G82-1.01325)*LOG10(G82-1.01325)),1)</f>
        <v>1</v>
      </c>
      <c r="O82" s="294">
        <f>+IF(I82="Cl",'Equipment Data'!$K$179,IF(I82="CS",'Equipment Data'!$L$179,IF(I82="Cu",'Equipment Data'!$M$179,IF(I82="SS",'Equipment Data'!$N$179,IF(I82="Ni",'Equipment Data'!$O$179,IF(I82="Ti",'Equipment Data'!$P$179,"N/A"))))))</f>
        <v>1.55</v>
      </c>
      <c r="P82" s="294">
        <f>+'Equipment Data'!$I$179+'Equipment Data'!$J$179*O82*N82</f>
        <v>3.9824999999999999</v>
      </c>
      <c r="Q82" s="169">
        <f>+P82*M82</f>
        <v>9757.8869991277315</v>
      </c>
      <c r="R82" s="305"/>
      <c r="S82" s="306"/>
      <c r="T82" s="106"/>
      <c r="U82" s="105"/>
      <c r="V82" s="105"/>
      <c r="W82" s="83"/>
      <c r="X82" s="1"/>
      <c r="CI82" s="83"/>
      <c r="CJ82" s="83"/>
      <c r="CK82" s="83"/>
      <c r="CL82" s="83"/>
      <c r="CM82" s="83"/>
      <c r="CN82" s="83"/>
      <c r="CO82" s="83"/>
    </row>
    <row r="83" spans="1:93" x14ac:dyDescent="0.3">
      <c r="A83" s="83"/>
      <c r="B83" s="104"/>
      <c r="C83" s="302"/>
      <c r="D83" s="267" t="s">
        <v>269</v>
      </c>
      <c r="E83" s="267" t="s">
        <v>158</v>
      </c>
      <c r="F83" s="294">
        <v>1</v>
      </c>
      <c r="G83" s="294">
        <v>1</v>
      </c>
      <c r="H83" s="294" t="s">
        <v>473</v>
      </c>
      <c r="I83" s="294" t="s">
        <v>85</v>
      </c>
      <c r="J83" s="294" t="str">
        <f>+IF(F83&gt;'Equipment Data'!$S$180,"yes","No")</f>
        <v>No</v>
      </c>
      <c r="K83" s="294">
        <v>0.67</v>
      </c>
      <c r="L83" s="294" t="s">
        <v>354</v>
      </c>
      <c r="M83" s="172">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4">
        <f>+IF(G83-1.01325&gt;10,10^('Equipment Data'!$F$180+'Equipment Data'!$G$180*LOG10(G83-1.01325)+'Equipment Data'!$H$180*LOG10(G83-1.01325)*LOG10(G83-1.01325)),1)</f>
        <v>1</v>
      </c>
      <c r="O83" s="294">
        <f>+IF(I83="Cl",'Equipment Data'!$K$180,IF(I83="CS",'Equipment Data'!$L$180,IF(I83="Cu",'Equipment Data'!$M$180,IF(I83="SS",'Equipment Data'!$N$180,IF(I83="Ni",'Equipment Data'!$O$180,IF(I83="Ti",'Equipment Data'!$P$180,"N/A"))))))</f>
        <v>1.41</v>
      </c>
      <c r="P83" s="294">
        <f>+'Equipment Data'!$I$180+'Equipment Data'!$J$180*O83*N83</f>
        <v>3.7934999999999999</v>
      </c>
      <c r="Q83" s="169">
        <f>+M83*P83</f>
        <v>11379.943042847275</v>
      </c>
      <c r="R83" s="307"/>
      <c r="S83" s="308"/>
      <c r="T83" s="106"/>
      <c r="U83" s="105"/>
      <c r="V83" s="105"/>
      <c r="W83" s="83"/>
      <c r="X83" s="1"/>
      <c r="CI83" s="83"/>
      <c r="CJ83" s="83"/>
      <c r="CK83" s="83"/>
      <c r="CL83" s="83"/>
      <c r="CM83" s="83"/>
      <c r="CN83" s="83"/>
      <c r="CO83" s="83"/>
    </row>
    <row r="84" spans="1:93" x14ac:dyDescent="0.3">
      <c r="A84" s="83"/>
      <c r="B84" s="104"/>
      <c r="C84" s="302"/>
      <c r="D84" s="267" t="s">
        <v>269</v>
      </c>
      <c r="E84" s="267" t="s">
        <v>159</v>
      </c>
      <c r="F84" s="294">
        <v>1</v>
      </c>
      <c r="G84" s="294">
        <v>1</v>
      </c>
      <c r="H84" s="294" t="s">
        <v>473</v>
      </c>
      <c r="I84" s="294" t="s">
        <v>85</v>
      </c>
      <c r="J84" s="294" t="str">
        <f>+IF(F84&gt;'Equipment Data'!$S$181,"yes","No")</f>
        <v>No</v>
      </c>
      <c r="K84" s="294">
        <v>0.67</v>
      </c>
      <c r="L84" s="294" t="s">
        <v>354</v>
      </c>
      <c r="M84" s="172">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4">
        <f>+IF(G84-1.01325&gt;10,10^('Equipment Data'!$F$181+'Equipment Data'!$G$181*LOG10(G84-1.01325)+'Equipment Data'!$H$181*LOG10(G84-1.01325)*LOG10(G84-1.01325)),1)</f>
        <v>1</v>
      </c>
      <c r="O84" s="294">
        <f>+IF(I84="Cl",'Equipment Data'!$K$181,IF(I84="CS",'Equipment Data'!$L$181,IF(I84="Cu",'Equipment Data'!$M$181,IF(I84="SS",'Equipment Data'!$N$181,IF(I84="Ni",'Equipment Data'!$O$181,IF(I84="Ti",'Equipment Data'!$P$181,"N/A"))))))</f>
        <v>1.46</v>
      </c>
      <c r="P84" s="294">
        <f>+'Equipment Data'!$I$181+'Equipment Data'!$J$181*O84*N84</f>
        <v>3.8609999999999998</v>
      </c>
      <c r="Q84" s="169">
        <f>+M84*P84</f>
        <v>28595.638727427508</v>
      </c>
      <c r="R84" s="307"/>
      <c r="S84" s="308"/>
      <c r="T84" s="106"/>
      <c r="U84" s="105"/>
      <c r="V84" s="105"/>
      <c r="W84" s="83"/>
      <c r="X84" s="1"/>
      <c r="CI84" s="83"/>
      <c r="CJ84" s="83"/>
      <c r="CK84" s="83"/>
      <c r="CL84" s="83"/>
      <c r="CM84" s="83"/>
      <c r="CN84" s="83"/>
      <c r="CO84" s="83"/>
    </row>
    <row r="85" spans="1:93" x14ac:dyDescent="0.3">
      <c r="A85" s="83"/>
      <c r="B85" s="104"/>
      <c r="C85" s="218"/>
      <c r="D85" s="267" t="s">
        <v>526</v>
      </c>
      <c r="E85" s="267" t="s">
        <v>161</v>
      </c>
      <c r="F85" s="294">
        <v>1</v>
      </c>
      <c r="G85" s="294" t="s">
        <v>354</v>
      </c>
      <c r="H85" s="294" t="s">
        <v>471</v>
      </c>
      <c r="I85" s="294" t="s">
        <v>354</v>
      </c>
      <c r="J85" s="294" t="str">
        <f>+IF(F85&gt;'Equipment Data'!$G$186,"yes","No")</f>
        <v>No</v>
      </c>
      <c r="K85" s="294">
        <v>0.67</v>
      </c>
      <c r="L85" s="294" t="s">
        <v>354</v>
      </c>
      <c r="M85" s="172">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4" t="s">
        <v>354</v>
      </c>
      <c r="O85" s="294" t="s">
        <v>354</v>
      </c>
      <c r="P85" s="297">
        <f>+'Equipment Data'!$H$186</f>
        <v>4</v>
      </c>
      <c r="Q85" s="169">
        <f t="shared" ref="Q85:Q96" si="8">+M85*P85</f>
        <v>144797.14248969589</v>
      </c>
      <c r="R85" s="298"/>
      <c r="S85" s="223"/>
      <c r="T85" s="106"/>
      <c r="U85" s="105"/>
      <c r="V85" s="105"/>
      <c r="W85" s="83"/>
      <c r="X85" s="1"/>
      <c r="CI85" s="83"/>
      <c r="CJ85" s="83"/>
      <c r="CK85" s="83"/>
      <c r="CL85" s="83"/>
      <c r="CM85" s="83"/>
      <c r="CN85" s="83"/>
      <c r="CO85" s="83"/>
    </row>
    <row r="86" spans="1:93" x14ac:dyDescent="0.3">
      <c r="A86" s="83"/>
      <c r="B86" s="104"/>
      <c r="C86" s="216"/>
      <c r="D86" s="267" t="s">
        <v>526</v>
      </c>
      <c r="E86" s="267" t="s">
        <v>162</v>
      </c>
      <c r="F86" s="294">
        <v>1</v>
      </c>
      <c r="G86" s="294" t="s">
        <v>354</v>
      </c>
      <c r="H86" s="294" t="s">
        <v>471</v>
      </c>
      <c r="I86" s="294" t="s">
        <v>354</v>
      </c>
      <c r="J86" s="294" t="str">
        <f>+IF(F86&gt;'Equipment Data'!$G$187,"yes","No")</f>
        <v>No</v>
      </c>
      <c r="K86" s="294">
        <v>0.67</v>
      </c>
      <c r="L86" s="294" t="s">
        <v>354</v>
      </c>
      <c r="M86" s="172">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4" t="s">
        <v>354</v>
      </c>
      <c r="O86" s="294" t="s">
        <v>354</v>
      </c>
      <c r="P86" s="297">
        <f>+'Equipment Data'!$H$187</f>
        <v>4</v>
      </c>
      <c r="Q86" s="169">
        <f t="shared" si="8"/>
        <v>50963.58743676445</v>
      </c>
      <c r="R86" s="295"/>
      <c r="S86" s="217"/>
      <c r="T86" s="106"/>
      <c r="U86" s="105"/>
      <c r="V86" s="105"/>
      <c r="W86" s="83"/>
      <c r="X86" s="1"/>
      <c r="CI86" s="83"/>
      <c r="CJ86" s="83"/>
      <c r="CK86" s="83"/>
      <c r="CL86" s="83"/>
      <c r="CM86" s="83"/>
      <c r="CN86" s="83"/>
      <c r="CO86" s="83"/>
    </row>
    <row r="87" spans="1:93" x14ac:dyDescent="0.3">
      <c r="A87" s="83"/>
      <c r="B87" s="104"/>
      <c r="C87" s="216"/>
      <c r="D87" s="267" t="s">
        <v>526</v>
      </c>
      <c r="E87" s="267" t="s">
        <v>163</v>
      </c>
      <c r="F87" s="294">
        <v>1</v>
      </c>
      <c r="G87" s="294" t="s">
        <v>354</v>
      </c>
      <c r="H87" s="294" t="s">
        <v>471</v>
      </c>
      <c r="I87" s="294" t="s">
        <v>354</v>
      </c>
      <c r="J87" s="294" t="str">
        <f>+IF(F87&gt;'Equipment Data'!$G$188,"yes","No")</f>
        <v>No</v>
      </c>
      <c r="K87" s="294">
        <v>0.67</v>
      </c>
      <c r="L87" s="294" t="s">
        <v>354</v>
      </c>
      <c r="M87" s="172">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4" t="s">
        <v>354</v>
      </c>
      <c r="O87" s="294" t="s">
        <v>354</v>
      </c>
      <c r="P87" s="297">
        <f>+'Equipment Data'!$H$188</f>
        <v>4</v>
      </c>
      <c r="Q87" s="169">
        <f t="shared" si="8"/>
        <v>24989.639516062187</v>
      </c>
      <c r="R87" s="295"/>
      <c r="S87" s="217"/>
      <c r="T87" s="106"/>
      <c r="U87" s="105"/>
      <c r="V87" s="105"/>
      <c r="W87" s="83"/>
      <c r="X87" s="1"/>
      <c r="CI87" s="83"/>
      <c r="CJ87" s="83"/>
      <c r="CK87" s="83"/>
      <c r="CL87" s="83"/>
      <c r="CM87" s="83"/>
      <c r="CN87" s="83"/>
      <c r="CO87" s="83"/>
    </row>
    <row r="88" spans="1:93" x14ac:dyDescent="0.3">
      <c r="A88" s="83"/>
      <c r="B88" s="104"/>
      <c r="C88" s="216"/>
      <c r="D88" s="267" t="s">
        <v>526</v>
      </c>
      <c r="E88" s="267" t="s">
        <v>164</v>
      </c>
      <c r="F88" s="294">
        <v>1</v>
      </c>
      <c r="G88" s="294" t="s">
        <v>354</v>
      </c>
      <c r="H88" s="294" t="s">
        <v>471</v>
      </c>
      <c r="I88" s="294" t="s">
        <v>354</v>
      </c>
      <c r="J88" s="294" t="str">
        <f>+IF(F88&gt;'Equipment Data'!$G$189,"yes","No")</f>
        <v>No</v>
      </c>
      <c r="K88" s="294">
        <v>0.67</v>
      </c>
      <c r="L88" s="294" t="s">
        <v>354</v>
      </c>
      <c r="M88" s="172">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4" t="s">
        <v>354</v>
      </c>
      <c r="O88" s="294" t="s">
        <v>354</v>
      </c>
      <c r="P88" s="297">
        <f>+'Equipment Data'!$H$189</f>
        <v>4</v>
      </c>
      <c r="Q88" s="169">
        <f t="shared" si="8"/>
        <v>50963.58743676445</v>
      </c>
      <c r="R88" s="295"/>
      <c r="S88" s="217"/>
      <c r="T88" s="106"/>
      <c r="U88" s="105"/>
      <c r="V88" s="105"/>
      <c r="W88" s="83"/>
      <c r="X88" s="1"/>
      <c r="CI88" s="83"/>
      <c r="CJ88" s="83"/>
      <c r="CK88" s="83"/>
      <c r="CL88" s="83"/>
      <c r="CM88" s="83"/>
      <c r="CN88" s="83"/>
      <c r="CO88" s="83"/>
    </row>
    <row r="89" spans="1:93" x14ac:dyDescent="0.3">
      <c r="A89" s="83"/>
      <c r="B89" s="104"/>
      <c r="C89" s="216"/>
      <c r="D89" s="267" t="s">
        <v>526</v>
      </c>
      <c r="E89" s="267" t="s">
        <v>165</v>
      </c>
      <c r="F89" s="294">
        <v>1</v>
      </c>
      <c r="G89" s="294" t="s">
        <v>354</v>
      </c>
      <c r="H89" s="294" t="s">
        <v>471</v>
      </c>
      <c r="I89" s="294" t="s">
        <v>354</v>
      </c>
      <c r="J89" s="294" t="str">
        <f>+IF(F89&gt;'Equipment Data'!$G$190,"yes","No")</f>
        <v>No</v>
      </c>
      <c r="K89" s="294">
        <v>0.67</v>
      </c>
      <c r="L89" s="294" t="s">
        <v>354</v>
      </c>
      <c r="M89" s="172">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4" t="s">
        <v>354</v>
      </c>
      <c r="O89" s="294" t="s">
        <v>354</v>
      </c>
      <c r="P89" s="297">
        <f>+'Equipment Data'!$H$190</f>
        <v>4</v>
      </c>
      <c r="Q89" s="169">
        <f t="shared" si="8"/>
        <v>8946.6405978647181</v>
      </c>
      <c r="R89" s="295"/>
      <c r="S89" s="217"/>
      <c r="T89" s="106"/>
      <c r="U89" s="105"/>
      <c r="V89" s="105"/>
      <c r="W89" s="83"/>
      <c r="X89" s="1"/>
      <c r="CI89" s="83"/>
      <c r="CJ89" s="83"/>
      <c r="CK89" s="83"/>
      <c r="CL89" s="83"/>
      <c r="CM89" s="83"/>
      <c r="CN89" s="83"/>
      <c r="CO89" s="83"/>
    </row>
    <row r="90" spans="1:93" x14ac:dyDescent="0.3">
      <c r="A90" s="83"/>
      <c r="B90" s="104"/>
      <c r="C90" s="224"/>
      <c r="D90" s="267" t="s">
        <v>526</v>
      </c>
      <c r="E90" s="267" t="s">
        <v>166</v>
      </c>
      <c r="F90" s="294">
        <v>1</v>
      </c>
      <c r="G90" s="294" t="s">
        <v>354</v>
      </c>
      <c r="H90" s="294" t="s">
        <v>471</v>
      </c>
      <c r="I90" s="294" t="s">
        <v>354</v>
      </c>
      <c r="J90" s="294" t="str">
        <f>+IF(F90&gt;'Equipment Data'!$G$191,"yes","No")</f>
        <v>No</v>
      </c>
      <c r="K90" s="294">
        <v>0.67</v>
      </c>
      <c r="L90" s="294" t="s">
        <v>354</v>
      </c>
      <c r="M90" s="172">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4" t="s">
        <v>354</v>
      </c>
      <c r="O90" s="294" t="s">
        <v>354</v>
      </c>
      <c r="P90" s="297">
        <f>+'Equipment Data'!$H$191</f>
        <v>4</v>
      </c>
      <c r="Q90" s="169">
        <f t="shared" si="8"/>
        <v>205901.72797250503</v>
      </c>
      <c r="R90" s="295"/>
      <c r="S90" s="217"/>
      <c r="T90" s="106"/>
      <c r="U90" s="105"/>
      <c r="V90" s="105"/>
      <c r="W90" s="83"/>
      <c r="X90" s="1"/>
      <c r="CI90" s="83"/>
      <c r="CJ90" s="83"/>
      <c r="CK90" s="83"/>
      <c r="CL90" s="83"/>
      <c r="CM90" s="83"/>
      <c r="CN90" s="83"/>
      <c r="CO90" s="83"/>
    </row>
    <row r="91" spans="1:93" x14ac:dyDescent="0.3">
      <c r="A91" s="83"/>
      <c r="B91" s="104"/>
      <c r="C91" s="302"/>
      <c r="D91" s="267" t="s">
        <v>527</v>
      </c>
      <c r="E91" s="267" t="s">
        <v>168</v>
      </c>
      <c r="F91" s="294">
        <v>1</v>
      </c>
      <c r="G91" s="294" t="s">
        <v>354</v>
      </c>
      <c r="H91" s="294" t="s">
        <v>352</v>
      </c>
      <c r="I91" s="294" t="s">
        <v>354</v>
      </c>
      <c r="J91" s="294" t="str">
        <f>+IF(F91&gt;'Equipment Data'!$G$196,"yes","No")</f>
        <v>No</v>
      </c>
      <c r="K91" s="294">
        <v>0.67</v>
      </c>
      <c r="L91" s="294" t="s">
        <v>354</v>
      </c>
      <c r="M91" s="172">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4" t="s">
        <v>354</v>
      </c>
      <c r="O91" s="294" t="s">
        <v>354</v>
      </c>
      <c r="P91" s="294">
        <f>+'Equipment Data'!$H$196</f>
        <v>1.34</v>
      </c>
      <c r="Q91" s="169">
        <f t="shared" si="8"/>
        <v>8552.7307149533608</v>
      </c>
      <c r="R91" s="305"/>
      <c r="S91" s="306"/>
      <c r="T91" s="106"/>
      <c r="U91" s="105"/>
      <c r="V91" s="105"/>
      <c r="W91" s="83"/>
      <c r="X91" s="1"/>
      <c r="CI91" s="83"/>
      <c r="CJ91" s="83"/>
      <c r="CK91" s="83"/>
      <c r="CL91" s="83"/>
      <c r="CM91" s="83"/>
      <c r="CN91" s="83"/>
      <c r="CO91" s="83"/>
    </row>
    <row r="92" spans="1:93" x14ac:dyDescent="0.3">
      <c r="A92" s="83"/>
      <c r="B92" s="104"/>
      <c r="C92" s="302"/>
      <c r="D92" s="267" t="s">
        <v>527</v>
      </c>
      <c r="E92" s="267" t="s">
        <v>513</v>
      </c>
      <c r="F92" s="294">
        <v>1</v>
      </c>
      <c r="G92" s="294" t="s">
        <v>354</v>
      </c>
      <c r="H92" s="294" t="s">
        <v>352</v>
      </c>
      <c r="I92" s="294" t="s">
        <v>354</v>
      </c>
      <c r="J92" s="294" t="str">
        <f>+IF(F92&gt;'Equipment Data'!$G$197,"yes","No")</f>
        <v>No</v>
      </c>
      <c r="K92" s="294">
        <v>0.67</v>
      </c>
      <c r="L92" s="294" t="s">
        <v>354</v>
      </c>
      <c r="M92" s="172">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4" t="s">
        <v>354</v>
      </c>
      <c r="O92" s="294" t="s">
        <v>354</v>
      </c>
      <c r="P92" s="294">
        <f>+'Equipment Data'!$H$197</f>
        <v>1.34</v>
      </c>
      <c r="Q92" s="169">
        <f t="shared" si="8"/>
        <v>14983.207649428554</v>
      </c>
      <c r="R92" s="307"/>
      <c r="S92" s="308"/>
      <c r="T92" s="106"/>
      <c r="U92" s="105"/>
      <c r="V92" s="105"/>
      <c r="W92" s="83"/>
      <c r="X92" s="1"/>
      <c r="CI92" s="83"/>
      <c r="CJ92" s="83"/>
      <c r="CK92" s="83"/>
      <c r="CL92" s="83"/>
      <c r="CM92" s="83"/>
      <c r="CN92" s="83"/>
      <c r="CO92" s="83"/>
    </row>
    <row r="93" spans="1:93" x14ac:dyDescent="0.3">
      <c r="A93" s="83"/>
      <c r="B93" s="104"/>
      <c r="C93" s="302"/>
      <c r="D93" s="267" t="s">
        <v>527</v>
      </c>
      <c r="E93" s="267" t="s">
        <v>169</v>
      </c>
      <c r="F93" s="294">
        <v>1</v>
      </c>
      <c r="G93" s="294" t="s">
        <v>354</v>
      </c>
      <c r="H93" s="294" t="s">
        <v>352</v>
      </c>
      <c r="I93" s="294" t="s">
        <v>354</v>
      </c>
      <c r="J93" s="294" t="str">
        <f>+IF(F93&gt;'Equipment Data'!$G$198,"yes","No")</f>
        <v>No</v>
      </c>
      <c r="K93" s="294">
        <v>0.67</v>
      </c>
      <c r="L93" s="294" t="s">
        <v>354</v>
      </c>
      <c r="M93" s="172">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4" t="s">
        <v>354</v>
      </c>
      <c r="O93" s="294" t="s">
        <v>354</v>
      </c>
      <c r="P93" s="294">
        <f>+'Equipment Data'!$H$198</f>
        <v>1.34</v>
      </c>
      <c r="Q93" s="169">
        <f t="shared" si="8"/>
        <v>8892.1094237817506</v>
      </c>
      <c r="R93" s="307"/>
      <c r="S93" s="308"/>
      <c r="T93" s="106"/>
      <c r="U93" s="105"/>
      <c r="V93" s="105"/>
      <c r="W93" s="83"/>
      <c r="X93" s="1"/>
      <c r="CI93" s="83"/>
      <c r="CJ93" s="83"/>
      <c r="CK93" s="83"/>
      <c r="CL93" s="83"/>
      <c r="CM93" s="83"/>
      <c r="CN93" s="83"/>
      <c r="CO93" s="83"/>
    </row>
    <row r="94" spans="1:93" x14ac:dyDescent="0.3">
      <c r="A94" s="83"/>
      <c r="B94" s="104"/>
      <c r="C94" s="303"/>
      <c r="D94" s="267" t="s">
        <v>527</v>
      </c>
      <c r="E94" s="267" t="s">
        <v>170</v>
      </c>
      <c r="F94" s="294">
        <v>1</v>
      </c>
      <c r="G94" s="294" t="s">
        <v>354</v>
      </c>
      <c r="H94" s="294" t="s">
        <v>352</v>
      </c>
      <c r="I94" s="294" t="s">
        <v>354</v>
      </c>
      <c r="J94" s="294" t="str">
        <f>+IF(F94&gt;'Equipment Data'!$G$199,"yes","No")</f>
        <v>No</v>
      </c>
      <c r="K94" s="294">
        <v>0.67</v>
      </c>
      <c r="L94" s="294" t="s">
        <v>354</v>
      </c>
      <c r="M94" s="172">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4" t="s">
        <v>354</v>
      </c>
      <c r="O94" s="294" t="s">
        <v>354</v>
      </c>
      <c r="P94" s="294">
        <f>+'Equipment Data'!$H$199</f>
        <v>1.34</v>
      </c>
      <c r="Q94" s="169">
        <f t="shared" si="8"/>
        <v>14983.207649428554</v>
      </c>
      <c r="R94" s="309"/>
      <c r="S94" s="310"/>
      <c r="T94" s="106"/>
      <c r="U94" s="105"/>
      <c r="V94" s="105"/>
      <c r="W94" s="83"/>
      <c r="X94" s="1"/>
      <c r="CI94" s="83"/>
      <c r="CJ94" s="83"/>
      <c r="CK94" s="83"/>
      <c r="CL94" s="83"/>
      <c r="CM94" s="83"/>
      <c r="CN94" s="83"/>
      <c r="CO94" s="83"/>
    </row>
    <row r="95" spans="1:93" x14ac:dyDescent="0.3">
      <c r="A95" s="83"/>
      <c r="B95" s="104"/>
      <c r="C95" s="218"/>
      <c r="D95" s="267" t="s">
        <v>257</v>
      </c>
      <c r="E95" s="267" t="s">
        <v>172</v>
      </c>
      <c r="F95" s="294">
        <v>1</v>
      </c>
      <c r="G95" s="294" t="s">
        <v>354</v>
      </c>
      <c r="H95" s="294" t="s">
        <v>471</v>
      </c>
      <c r="I95" s="294" t="s">
        <v>354</v>
      </c>
      <c r="J95" s="294" t="str">
        <f>+IF(F95&gt;'Equipment Data'!$I$204,"yes","No")</f>
        <v>No</v>
      </c>
      <c r="K95" s="294">
        <v>0.67</v>
      </c>
      <c r="L95" s="294" t="s">
        <v>354</v>
      </c>
      <c r="M95" s="172">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4" t="s">
        <v>354</v>
      </c>
      <c r="O95" s="294" t="s">
        <v>354</v>
      </c>
      <c r="P95" s="294">
        <v>1.1000000000000001</v>
      </c>
      <c r="Q95" s="169">
        <f t="shared" si="8"/>
        <v>78035.584049874946</v>
      </c>
      <c r="R95" s="166"/>
      <c r="S95" s="204"/>
      <c r="T95" s="106"/>
      <c r="U95" s="105"/>
      <c r="V95" s="105"/>
      <c r="W95" s="83"/>
      <c r="X95" s="1"/>
      <c r="CI95" s="83"/>
      <c r="CJ95" s="83"/>
      <c r="CK95" s="83"/>
      <c r="CL95" s="83"/>
      <c r="CM95" s="83"/>
      <c r="CN95" s="83"/>
      <c r="CO95" s="83"/>
    </row>
    <row r="96" spans="1:93" x14ac:dyDescent="0.3">
      <c r="A96" s="83"/>
      <c r="B96" s="104"/>
      <c r="C96" s="216"/>
      <c r="D96" s="267" t="s">
        <v>257</v>
      </c>
      <c r="E96" s="267" t="s">
        <v>173</v>
      </c>
      <c r="F96" s="294">
        <v>1</v>
      </c>
      <c r="G96" s="294" t="s">
        <v>354</v>
      </c>
      <c r="H96" s="294" t="s">
        <v>471</v>
      </c>
      <c r="I96" s="294" t="s">
        <v>354</v>
      </c>
      <c r="J96" s="294" t="str">
        <f>+IF(F96&gt;'Equipment Data'!$I$205,"yes","No")</f>
        <v>No</v>
      </c>
      <c r="K96" s="294">
        <v>0.67</v>
      </c>
      <c r="L96" s="294" t="s">
        <v>354</v>
      </c>
      <c r="M96" s="172">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4" t="s">
        <v>354</v>
      </c>
      <c r="O96" s="294" t="s">
        <v>354</v>
      </c>
      <c r="P96" s="294">
        <v>1.1000000000000001</v>
      </c>
      <c r="Q96" s="169">
        <f t="shared" si="8"/>
        <v>995617.87493027258</v>
      </c>
      <c r="R96" s="98"/>
      <c r="S96" s="170"/>
      <c r="T96" s="106"/>
      <c r="U96" s="105"/>
      <c r="V96" s="105"/>
      <c r="W96" s="83"/>
      <c r="X96" s="1"/>
      <c r="CI96" s="83"/>
      <c r="CJ96" s="83"/>
      <c r="CK96" s="83"/>
      <c r="CL96" s="83"/>
      <c r="CM96" s="83"/>
      <c r="CN96" s="83"/>
      <c r="CO96" s="83"/>
    </row>
    <row r="97" spans="1:93" x14ac:dyDescent="0.3">
      <c r="A97" s="83"/>
      <c r="B97" s="104"/>
      <c r="C97" s="301"/>
      <c r="D97" s="267" t="s">
        <v>148</v>
      </c>
      <c r="E97" s="267" t="s">
        <v>24</v>
      </c>
      <c r="F97" s="294">
        <v>1</v>
      </c>
      <c r="G97" s="294" t="s">
        <v>354</v>
      </c>
      <c r="H97" s="294" t="s">
        <v>473</v>
      </c>
      <c r="I97" s="294" t="s">
        <v>85</v>
      </c>
      <c r="J97" s="294" t="str">
        <f>+IF(F97&gt;'Equipment Data'!$M$210,"yes","No")</f>
        <v>No</v>
      </c>
      <c r="K97" s="294">
        <v>0.67</v>
      </c>
      <c r="L97" s="294" t="s">
        <v>354</v>
      </c>
      <c r="M97" s="172">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4" t="s">
        <v>354</v>
      </c>
      <c r="O97" s="294" t="s">
        <v>354</v>
      </c>
      <c r="P97" s="294">
        <f>+IF(I97="Cl",'Equipment Data'!$F$210,IF(I97="CS",'Equipment Data'!$G$210,IF(I97="Cu",'Equipment Data'!$H$210,IF(I97="SS",'Equipment Data'!$I$210,IF(I97="Ni",'Equipment Data'!$J$210,IF(I97="Ti",'Equipment Data'!$K$210,"N/A"))))))</f>
        <v>3.5</v>
      </c>
      <c r="Q97" s="169">
        <f>+M97*P97</f>
        <v>1774.8761122418107</v>
      </c>
      <c r="R97" s="305"/>
      <c r="S97" s="306"/>
      <c r="T97" s="106"/>
      <c r="U97" s="105"/>
      <c r="V97" s="105"/>
      <c r="W97" s="83"/>
      <c r="X97" s="1"/>
      <c r="CI97" s="83"/>
      <c r="CJ97" s="83"/>
      <c r="CK97" s="83"/>
      <c r="CL97" s="83"/>
      <c r="CM97" s="83"/>
      <c r="CN97" s="83"/>
      <c r="CO97" s="83"/>
    </row>
    <row r="98" spans="1:93" x14ac:dyDescent="0.3">
      <c r="A98" s="83"/>
      <c r="B98" s="104"/>
      <c r="C98" s="303"/>
      <c r="D98" s="267" t="s">
        <v>148</v>
      </c>
      <c r="E98" s="267" t="s">
        <v>178</v>
      </c>
      <c r="F98" s="294">
        <v>1</v>
      </c>
      <c r="G98" s="294" t="s">
        <v>354</v>
      </c>
      <c r="H98" s="294" t="s">
        <v>473</v>
      </c>
      <c r="I98" s="294" t="s">
        <v>85</v>
      </c>
      <c r="J98" s="294" t="str">
        <f>+IF(F98&gt;'Equipment Data'!$G$211,"yes","No")</f>
        <v>No</v>
      </c>
      <c r="K98" s="294">
        <v>0.67</v>
      </c>
      <c r="L98" s="294" t="s">
        <v>354</v>
      </c>
      <c r="M98" s="172">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4" t="s">
        <v>354</v>
      </c>
      <c r="O98" s="294" t="s">
        <v>354</v>
      </c>
      <c r="P98" s="294">
        <f>+IF(I98="Cl",'Equipment Data'!$F$211,IF(I98="CS",'Equipment Data'!$G$211,IF(I98="Cu",'Equipment Data'!$H$211,IF(I98="SS",'Equipment Data'!$I$211,IF(I98="Ni",'Equipment Data'!$J$211,IF(I98="Ti",'Equipment Data'!$K$211,"N/A"))))))</f>
        <v>3.5</v>
      </c>
      <c r="Q98" s="169">
        <f>+M98*P98</f>
        <v>618.96778239862999</v>
      </c>
      <c r="R98" s="309"/>
      <c r="S98" s="310"/>
      <c r="T98" s="106"/>
      <c r="U98" s="105"/>
      <c r="V98" s="105"/>
      <c r="W98" s="83"/>
      <c r="X98" s="1"/>
      <c r="CI98" s="83"/>
      <c r="CJ98" s="83"/>
      <c r="CK98" s="83"/>
      <c r="CL98" s="83"/>
      <c r="CM98" s="83"/>
      <c r="CN98" s="83"/>
      <c r="CO98" s="83"/>
    </row>
    <row r="99" spans="1:93" x14ac:dyDescent="0.3">
      <c r="A99" s="83"/>
      <c r="B99" s="104"/>
      <c r="C99" s="218"/>
      <c r="D99" s="267" t="s">
        <v>259</v>
      </c>
      <c r="E99" s="267" t="s">
        <v>182</v>
      </c>
      <c r="F99" s="294">
        <v>1</v>
      </c>
      <c r="G99" s="294">
        <v>1</v>
      </c>
      <c r="H99" s="294" t="s">
        <v>471</v>
      </c>
      <c r="I99" s="294" t="s">
        <v>85</v>
      </c>
      <c r="J99" s="294" t="str">
        <f>+IF(F99&gt;'Equipment Data'!$G$216,"yes","No")</f>
        <v>No</v>
      </c>
      <c r="K99" s="294">
        <v>0.67</v>
      </c>
      <c r="L99" s="294" t="s">
        <v>354</v>
      </c>
      <c r="M99" s="172">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8">
        <f>+IF(G99-1.01325&gt;5,10^('Equipment Data'!$I$216+'Equipment Data'!$J$216*LOG10(G99-1.01325)+'Equipment Data'!$K$216*LOG10(G99-1.01325)*LOG10(G99-1.01325)),1)</f>
        <v>1</v>
      </c>
      <c r="O99" s="130" t="s">
        <v>354</v>
      </c>
      <c r="P99" s="294">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9">
        <f>+M99*N99*P99</f>
        <v>20551.833025368316</v>
      </c>
      <c r="R99" s="166"/>
      <c r="S99" s="204"/>
      <c r="T99" s="106"/>
      <c r="U99" s="105"/>
      <c r="V99" s="105"/>
      <c r="W99" s="83"/>
      <c r="X99" s="1"/>
      <c r="CI99" s="83"/>
      <c r="CJ99" s="83"/>
      <c r="CK99" s="83"/>
      <c r="CL99" s="83"/>
      <c r="CM99" s="83"/>
      <c r="CN99" s="83"/>
      <c r="CO99" s="83"/>
    </row>
    <row r="100" spans="1:93" x14ac:dyDescent="0.3">
      <c r="A100" s="83"/>
      <c r="B100" s="104"/>
      <c r="C100" s="216"/>
      <c r="D100" s="267" t="s">
        <v>259</v>
      </c>
      <c r="E100" s="267" t="s">
        <v>183</v>
      </c>
      <c r="F100" s="294">
        <v>1</v>
      </c>
      <c r="G100" s="294">
        <v>1</v>
      </c>
      <c r="H100" s="294" t="s">
        <v>471</v>
      </c>
      <c r="I100" s="294" t="s">
        <v>85</v>
      </c>
      <c r="J100" s="294" t="str">
        <f>+IF(F100&gt;'Equipment Data'!$G$217,"yes","No")</f>
        <v>No</v>
      </c>
      <c r="K100" s="294">
        <v>0.67</v>
      </c>
      <c r="L100" s="294" t="s">
        <v>354</v>
      </c>
      <c r="M100" s="172">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8">
        <f>+IF(G100-1.01325&gt;5,10^('Equipment Data'!$I$217+'Equipment Data'!$J$217*LOG10(G100-1.01325)+'Equipment Data'!$K$217*LOG10(G100-1.01325)*LOG10(G100-1.01325)),1)</f>
        <v>1</v>
      </c>
      <c r="O100" s="167" t="s">
        <v>354</v>
      </c>
      <c r="P100" s="294">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9">
        <f t="shared" ref="Q100:Q101" si="9">+M100*N100*P100</f>
        <v>33070.642194397347</v>
      </c>
      <c r="R100" s="98"/>
      <c r="S100" s="170"/>
      <c r="T100" s="106"/>
      <c r="U100" s="105"/>
      <c r="V100" s="105"/>
      <c r="W100" s="83"/>
      <c r="X100" s="1"/>
      <c r="CI100" s="83"/>
      <c r="CJ100" s="83"/>
      <c r="CK100" s="83"/>
      <c r="CL100" s="83"/>
      <c r="CM100" s="83"/>
      <c r="CN100" s="83"/>
      <c r="CO100" s="83"/>
    </row>
    <row r="101" spans="1:93" x14ac:dyDescent="0.3">
      <c r="A101" s="83"/>
      <c r="B101" s="104"/>
      <c r="C101" s="216"/>
      <c r="D101" s="267" t="s">
        <v>259</v>
      </c>
      <c r="E101" s="267" t="s">
        <v>184</v>
      </c>
      <c r="F101" s="294">
        <v>1</v>
      </c>
      <c r="G101" s="294">
        <v>1</v>
      </c>
      <c r="H101" s="294" t="s">
        <v>471</v>
      </c>
      <c r="I101" s="294" t="s">
        <v>85</v>
      </c>
      <c r="J101" s="294" t="str">
        <f>+IF(F101&gt;'Equipment Data'!$G$218,"yes","No")</f>
        <v>No</v>
      </c>
      <c r="K101" s="294">
        <v>0.67</v>
      </c>
      <c r="L101" s="294" t="s">
        <v>354</v>
      </c>
      <c r="M101" s="172">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8">
        <f>+IF(G101-1.01325&gt;5,10^('Equipment Data'!$I$218+'Equipment Data'!$J$218*LOG10(G101-1.01325)+'Equipment Data'!$K$218*LOG10(G101-1.01325)*LOG10(G101-1.01325)),1)</f>
        <v>1</v>
      </c>
      <c r="O101" s="167" t="s">
        <v>354</v>
      </c>
      <c r="P101" s="294">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9">
        <f t="shared" si="9"/>
        <v>33070.642194397347</v>
      </c>
      <c r="R101" s="98"/>
      <c r="S101" s="170"/>
      <c r="T101" s="106"/>
      <c r="U101" s="105"/>
      <c r="V101" s="105"/>
      <c r="W101" s="83"/>
      <c r="X101" s="1"/>
      <c r="CI101" s="83"/>
      <c r="CJ101" s="83"/>
      <c r="CK101" s="83"/>
      <c r="CL101" s="83"/>
      <c r="CM101" s="83"/>
      <c r="CN101" s="83"/>
      <c r="CO101" s="83"/>
    </row>
    <row r="102" spans="1:93" x14ac:dyDescent="0.3">
      <c r="A102" s="83"/>
      <c r="B102" s="104"/>
      <c r="C102" s="301"/>
      <c r="D102" s="267" t="s">
        <v>260</v>
      </c>
      <c r="E102" s="267" t="s">
        <v>200</v>
      </c>
      <c r="F102" s="294">
        <v>1</v>
      </c>
      <c r="G102" s="294">
        <v>1</v>
      </c>
      <c r="H102" s="294" t="s">
        <v>471</v>
      </c>
      <c r="I102" s="294" t="s">
        <v>85</v>
      </c>
      <c r="J102" s="294" t="str">
        <f>+IF(F102&gt;'Equipment Data'!$K$239,"yes","No")</f>
        <v>No</v>
      </c>
      <c r="K102" s="294">
        <v>0.67</v>
      </c>
      <c r="L102" s="294">
        <v>1</v>
      </c>
      <c r="M102" s="172">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8">
        <f>+IF(L102="","Input Diameter in m",IF(G102&gt;0.5,IF(((G102*L102)/(2*(850-0.6*G102))+0.00315)/0.0063&lt;1,1,((G102*L102)/(2*(850-0.6*G102))+0.00315)/0.0063),1.25))</f>
        <v>1</v>
      </c>
      <c r="O102" s="294">
        <f>+IF(I102="CS",'Equipment Data'!$C$247,IF(I102="SS Clad",'Equipment Data'!$C$248,IF(I102="SS",'Equipment Data'!$C$249,IF(I102="Ni Clad",'Equipment Data'!$C$250,IF(I102="Ni",'Equipment Data'!$C$251,IF(I102="Ti Clad",'Equipment Data'!$C$252,IF(I102="Ti",'Equipment Data'!$C$253,"N/A")))))))</f>
        <v>1</v>
      </c>
      <c r="P102" s="169">
        <f>+'Equipment Data'!$C$243+'Equipment Data'!$D$243*N102*O102</f>
        <v>3.01</v>
      </c>
      <c r="Q102" s="169">
        <f>+M102*P102</f>
        <v>10840.928886881307</v>
      </c>
      <c r="R102" s="305"/>
      <c r="S102" s="306"/>
      <c r="T102" s="106"/>
      <c r="U102" s="105"/>
      <c r="V102" s="105"/>
      <c r="W102" s="83"/>
      <c r="X102" s="1"/>
      <c r="CI102" s="83"/>
      <c r="CJ102" s="83"/>
      <c r="CK102" s="83"/>
      <c r="CL102" s="83"/>
      <c r="CM102" s="83"/>
      <c r="CN102" s="83"/>
      <c r="CO102" s="83"/>
    </row>
    <row r="103" spans="1:93" x14ac:dyDescent="0.3">
      <c r="A103" s="83"/>
      <c r="B103" s="104"/>
      <c r="C103" s="303"/>
      <c r="D103" s="267" t="s">
        <v>260</v>
      </c>
      <c r="E103" s="267" t="s">
        <v>201</v>
      </c>
      <c r="F103" s="315">
        <v>1</v>
      </c>
      <c r="G103" s="315">
        <v>1</v>
      </c>
      <c r="H103" s="315" t="s">
        <v>471</v>
      </c>
      <c r="I103" s="315" t="s">
        <v>85</v>
      </c>
      <c r="J103" s="315" t="str">
        <f>+IF(F103&gt;'Equipment Data'!$F$239,"yes","No")</f>
        <v>No</v>
      </c>
      <c r="K103" s="315">
        <v>0.67</v>
      </c>
      <c r="L103" s="315">
        <v>1</v>
      </c>
      <c r="M103" s="172">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71">
        <f>+IF(L103="","Input Diameter in m",IF(G103&gt;0.5,IF(((G103*L103)/(2*(850-0.6*G103))+0.00315)/0.0063&lt;1,1,((G103*L103)/(2*(850-0.6*G103))+0.00315)/0.0063),1.25))</f>
        <v>1</v>
      </c>
      <c r="O103" s="315">
        <f>+IF(I103="CS",'Equipment Data'!$C$247,IF(I103="SS Clad",'Equipment Data'!$C$248,IF(I103="SS",'Equipment Data'!$C$249,IF(I103="Ni Clad",'Equipment Data'!$C$250,IF(I103="Ni",'Equipment Data'!$C$251,IF(I103="Ti Clad",'Equipment Data'!$C$252,IF(I103="Ti",'Equipment Data'!$C$253,"N/A")))))))</f>
        <v>1</v>
      </c>
      <c r="P103" s="169">
        <f>+'Equipment Data'!$C$244+'Equipment Data'!$D$244*N103*O103</f>
        <v>4.07</v>
      </c>
      <c r="Q103" s="169">
        <f>+M103*P103</f>
        <v>12793.648344877778</v>
      </c>
      <c r="R103" s="309"/>
      <c r="S103" s="310"/>
      <c r="T103" s="106"/>
      <c r="U103" s="105"/>
      <c r="V103" s="105"/>
      <c r="W103" s="83"/>
      <c r="X103" s="1"/>
      <c r="CI103" s="83"/>
      <c r="CJ103" s="83"/>
      <c r="CK103" s="83"/>
      <c r="CL103" s="83"/>
      <c r="CM103" s="83"/>
      <c r="CN103" s="83"/>
      <c r="CO103" s="83"/>
    </row>
    <row r="104" spans="1:93" x14ac:dyDescent="0.3">
      <c r="A104" s="83"/>
      <c r="B104" s="104"/>
      <c r="C104" s="218"/>
      <c r="D104" s="267" t="s">
        <v>210</v>
      </c>
      <c r="E104" s="267" t="s">
        <v>214</v>
      </c>
      <c r="F104" s="315">
        <v>1</v>
      </c>
      <c r="G104" s="315" t="s">
        <v>354</v>
      </c>
      <c r="H104" s="315" t="s">
        <v>352</v>
      </c>
      <c r="I104" s="315" t="s">
        <v>85</v>
      </c>
      <c r="J104" s="315" t="str">
        <f>+IF(F104&gt;'Equipment Data'!$G$257,"yes","No")</f>
        <v>No</v>
      </c>
      <c r="K104" s="315">
        <v>0.67</v>
      </c>
      <c r="L104" s="315">
        <v>1</v>
      </c>
      <c r="M104" s="172">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5" t="s">
        <v>354</v>
      </c>
      <c r="O104" s="168">
        <f>+IF(L104="","Input nº of Trays",IF(L104&lt;20,10^(0.4771+0.08516*LOG10(L104)-0.3473*LOG10(L104)*LOG10(L104)),1))</f>
        <v>2.9998531811907938</v>
      </c>
      <c r="P104" s="315">
        <f>+IF(I104="CS",'Equipment Data'!$D$262,IF(I104="SS",'Equipment Data'!$D$263,IF(I104="Fluorocarbon",'Equipment Data'!$D$264,IF(I104="Ni Alloy",'Equipment Data'!$D$265,"N/A"))))</f>
        <v>1</v>
      </c>
      <c r="Q104" s="169">
        <f>+M104*O104*P104</f>
        <v>2964.8313895243455</v>
      </c>
      <c r="R104" s="324"/>
      <c r="S104" s="204"/>
      <c r="T104" s="106"/>
      <c r="U104" s="105"/>
      <c r="V104" s="105"/>
      <c r="W104" s="83"/>
      <c r="X104" s="1"/>
      <c r="CI104" s="83"/>
      <c r="CJ104" s="83"/>
      <c r="CK104" s="83"/>
      <c r="CL104" s="83"/>
      <c r="CM104" s="83"/>
      <c r="CN104" s="83"/>
      <c r="CO104" s="83"/>
    </row>
    <row r="105" spans="1:93" x14ac:dyDescent="0.3">
      <c r="A105" s="83"/>
      <c r="B105" s="104"/>
      <c r="C105" s="216"/>
      <c r="D105" s="267" t="s">
        <v>210</v>
      </c>
      <c r="E105" s="267" t="s">
        <v>215</v>
      </c>
      <c r="F105" s="315">
        <v>1</v>
      </c>
      <c r="G105" s="315" t="s">
        <v>354</v>
      </c>
      <c r="H105" s="315" t="s">
        <v>352</v>
      </c>
      <c r="I105" s="315" t="s">
        <v>85</v>
      </c>
      <c r="J105" s="315" t="str">
        <f>+IF(F105&gt;'Equipment Data'!$G$258,"yes","No")</f>
        <v>No</v>
      </c>
      <c r="K105" s="315">
        <v>0.67</v>
      </c>
      <c r="L105" s="315">
        <v>1</v>
      </c>
      <c r="M105" s="172">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5" t="s">
        <v>354</v>
      </c>
      <c r="O105" s="168">
        <f>+IF(L105="","Input nº of Trays",IF(L105&lt;20,10^(0.4771+0.08516*LOG10(L105)-0.3473*LOG10(L105)*LOG10(L105)),1))</f>
        <v>2.9998531811907938</v>
      </c>
      <c r="P105" s="315">
        <f>+IF(I105="CS",'Equipment Data'!$E$262,IF(I105="SS",'Equipment Data'!$E$263,IF(I105="Fluorocarbon",'Equipment Data'!$E$264,IF(I105="Ni Alloy",'Equipment Data'!$E$265,"N/A"))))</f>
        <v>1</v>
      </c>
      <c r="Q105" s="169">
        <f t="shared" ref="Q105:Q106" si="10">+M105*O105*P105</f>
        <v>6446.143956044054</v>
      </c>
      <c r="R105" s="317"/>
      <c r="S105" s="170"/>
      <c r="T105" s="106"/>
      <c r="U105" s="105"/>
      <c r="V105" s="105"/>
      <c r="W105" s="83"/>
      <c r="X105" s="1"/>
      <c r="CI105" s="83"/>
      <c r="CJ105" s="83"/>
      <c r="CK105" s="83"/>
      <c r="CL105" s="83"/>
      <c r="CM105" s="83"/>
      <c r="CN105" s="83"/>
      <c r="CO105" s="83"/>
    </row>
    <row r="106" spans="1:93" x14ac:dyDescent="0.3">
      <c r="A106" s="83"/>
      <c r="B106" s="104"/>
      <c r="C106" s="224"/>
      <c r="D106" s="267" t="s">
        <v>210</v>
      </c>
      <c r="E106" s="267" t="s">
        <v>216</v>
      </c>
      <c r="F106" s="315">
        <v>1</v>
      </c>
      <c r="G106" s="315" t="s">
        <v>354</v>
      </c>
      <c r="H106" s="315" t="s">
        <v>352</v>
      </c>
      <c r="I106" s="315" t="s">
        <v>85</v>
      </c>
      <c r="J106" s="315" t="str">
        <f>+IF(F106&gt;'Equipment Data'!$G$259,"yes","No")</f>
        <v>No</v>
      </c>
      <c r="K106" s="315">
        <v>0.67</v>
      </c>
      <c r="L106" s="315">
        <v>1</v>
      </c>
      <c r="M106" s="172">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5" t="s">
        <v>354</v>
      </c>
      <c r="O106" s="316">
        <f>+IF(L106="","Input nº of Trays",IF(L106&lt;20,10^(0.4771+0.08516*LOG10(L106)-0.3473*LOG10(L106)*LOG10(L106)),1))</f>
        <v>2.9998531811907938</v>
      </c>
      <c r="P106" s="315">
        <f>+IF(I106="CS",'Equipment Data'!$F$262,IF(I106="SS",'Equipment Data'!$F$263,IF(I106="Fluorocarbon",'Equipment Data'!$F$264,IF(I106="Ni Alloy",'Equipment Data'!$F$265,"N/A"))))</f>
        <v>1</v>
      </c>
      <c r="Q106" s="169">
        <f t="shared" si="10"/>
        <v>5157.0340630264673</v>
      </c>
      <c r="R106" s="321"/>
      <c r="S106" s="205"/>
      <c r="T106" s="106"/>
      <c r="U106" s="105"/>
      <c r="V106" s="105"/>
      <c r="W106" s="83"/>
      <c r="X106" s="1"/>
      <c r="CI106" s="83"/>
      <c r="CJ106" s="83"/>
      <c r="CK106" s="83"/>
      <c r="CL106" s="83"/>
      <c r="CM106" s="83"/>
      <c r="CN106" s="83"/>
      <c r="CO106" s="83"/>
    </row>
    <row r="107" spans="1:93" x14ac:dyDescent="0.3">
      <c r="A107" s="83"/>
      <c r="B107" s="104"/>
      <c r="C107" s="302"/>
      <c r="D107" s="267" t="s">
        <v>535</v>
      </c>
      <c r="E107" s="267" t="s">
        <v>669</v>
      </c>
      <c r="F107" s="315">
        <v>1</v>
      </c>
      <c r="G107" s="315" t="s">
        <v>354</v>
      </c>
      <c r="H107" s="315" t="s">
        <v>471</v>
      </c>
      <c r="I107" s="315" t="s">
        <v>226</v>
      </c>
      <c r="J107" s="315" t="str">
        <f>+IF(F107&gt;'Equipment Data'!$G$283,"yes","No")</f>
        <v>No</v>
      </c>
      <c r="K107" s="315">
        <v>0.67</v>
      </c>
      <c r="L107" s="315" t="s">
        <v>354</v>
      </c>
      <c r="M107" s="172">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5" t="s">
        <v>354</v>
      </c>
      <c r="O107" s="315" t="s">
        <v>354</v>
      </c>
      <c r="P107" s="168">
        <f>+IF(I107="Ceramic",'Equipment Data'!$H$283,IF(I107="304 SS",'Equipment Data'!$H$284,IF(I107="Plastic Saddle",'Equipment Data'!$H$285,"N/A")))</f>
        <v>4.1399999999999997</v>
      </c>
      <c r="Q107" s="169">
        <f>+M107*P107</f>
        <v>1164.93137199697</v>
      </c>
      <c r="R107" s="307"/>
      <c r="S107" s="312"/>
      <c r="T107" s="106"/>
      <c r="U107" s="105"/>
      <c r="V107" s="105"/>
      <c r="W107" s="83"/>
      <c r="X107" s="1"/>
      <c r="CI107" s="83"/>
      <c r="CJ107" s="83"/>
      <c r="CK107" s="83"/>
      <c r="CL107" s="83"/>
      <c r="CM107" s="83"/>
      <c r="CN107" s="83"/>
      <c r="CO107" s="83"/>
    </row>
    <row r="108" spans="1:93" ht="14.4" customHeight="1" x14ac:dyDescent="0.3">
      <c r="A108" s="83"/>
      <c r="B108" s="104"/>
      <c r="C108" s="1301"/>
      <c r="D108" s="1302"/>
      <c r="E108" s="1302"/>
      <c r="F108" s="1302"/>
      <c r="G108" s="1302"/>
      <c r="H108" s="1302"/>
      <c r="I108" s="1302"/>
      <c r="J108" s="1302"/>
      <c r="K108" s="1302"/>
      <c r="L108" s="1302"/>
      <c r="M108" s="1302"/>
      <c r="N108" s="1302"/>
      <c r="O108" s="1302"/>
      <c r="P108" s="1302"/>
      <c r="Q108" s="1302"/>
      <c r="R108" s="1303"/>
      <c r="S108" s="1304"/>
      <c r="T108" s="106"/>
      <c r="U108" s="105"/>
      <c r="V108" s="105"/>
      <c r="W108" s="83"/>
      <c r="X108" s="1"/>
      <c r="CI108" s="83"/>
      <c r="CJ108" s="83"/>
      <c r="CK108" s="83"/>
      <c r="CL108" s="83"/>
      <c r="CM108" s="83"/>
      <c r="CN108" s="83"/>
      <c r="CO108" s="83"/>
    </row>
    <row r="109" spans="1:93" ht="14.4" customHeight="1" x14ac:dyDescent="0.3">
      <c r="A109" s="83"/>
      <c r="B109" s="104"/>
      <c r="C109" s="1083"/>
      <c r="D109" s="1084"/>
      <c r="E109" s="1084"/>
      <c r="F109" s="1084"/>
      <c r="G109" s="1084"/>
      <c r="H109" s="1084"/>
      <c r="I109" s="1084"/>
      <c r="J109" s="1084"/>
      <c r="K109" s="1084"/>
      <c r="L109" s="1084"/>
      <c r="M109" s="1084"/>
      <c r="N109" s="1084"/>
      <c r="O109" s="1084"/>
      <c r="P109" s="1084"/>
      <c r="Q109" s="1084"/>
      <c r="R109" s="1085"/>
      <c r="S109" s="1305"/>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1306"/>
      <c r="C112" s="1306"/>
      <c r="D112" s="1306"/>
      <c r="E112" s="1306"/>
      <c r="F112" s="1306"/>
      <c r="G112" s="1306"/>
      <c r="H112" s="198"/>
      <c r="I112" s="199"/>
      <c r="J112" s="199"/>
      <c r="K112" s="199"/>
      <c r="L112" s="199"/>
      <c r="M112" s="199"/>
      <c r="N112" s="199"/>
      <c r="O112" s="199"/>
      <c r="P112" s="199"/>
      <c r="Q112" s="199"/>
      <c r="R112" s="199"/>
      <c r="S112" s="199"/>
      <c r="T112" s="199"/>
      <c r="U112" s="199"/>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B2" sqref="B2:E2"/>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1102" t="s">
        <v>357</v>
      </c>
      <c r="C2" s="1103"/>
      <c r="D2" s="1103"/>
      <c r="E2" s="1104"/>
      <c r="F2" s="92"/>
      <c r="G2" s="92"/>
      <c r="H2" s="92"/>
      <c r="I2" s="92"/>
      <c r="J2" s="92"/>
      <c r="K2" s="92"/>
      <c r="L2" s="92"/>
    </row>
    <row r="3" spans="2:12" ht="27" customHeight="1" x14ac:dyDescent="0.3">
      <c r="B3" s="547" t="s">
        <v>686</v>
      </c>
      <c r="C3" s="634" t="s">
        <v>359</v>
      </c>
      <c r="D3" s="635" t="s">
        <v>579</v>
      </c>
      <c r="E3" s="636" t="s">
        <v>687</v>
      </c>
      <c r="F3" s="92"/>
      <c r="G3" s="92"/>
      <c r="H3" s="92"/>
      <c r="I3" s="92"/>
      <c r="J3" s="92"/>
      <c r="K3" s="92"/>
      <c r="L3" s="92"/>
    </row>
    <row r="4" spans="2:12" ht="27" customHeight="1" x14ac:dyDescent="0.3">
      <c r="B4" s="956">
        <f>+'Unit-100 - NG Pre-treating'!AG49</f>
        <v>1</v>
      </c>
      <c r="C4" s="896" t="str">
        <f>+'Unit-100 - NG Pre-treating'!AH49</f>
        <v>Manzolini [1]</v>
      </c>
      <c r="D4" s="958" t="s">
        <v>986</v>
      </c>
      <c r="E4" s="956" t="str">
        <f>+'Unit-100 - NG Pre-treating'!AI49</f>
        <v>https://doi.org/10.1115/GT2006-90353</v>
      </c>
      <c r="G4" s="127"/>
      <c r="H4" s="127"/>
      <c r="I4" s="127"/>
      <c r="J4" s="127"/>
      <c r="K4" s="127"/>
      <c r="L4" s="92"/>
    </row>
    <row r="5" spans="2:12" ht="27" customHeight="1" x14ac:dyDescent="0.3">
      <c r="B5" s="633">
        <f>+'Unit-100 - NG Pre-treating'!AG50</f>
        <v>2</v>
      </c>
      <c r="C5" s="896" t="str">
        <f>+'Unit-100 - NG Pre-treating'!AH50</f>
        <v>Manzolini [2]</v>
      </c>
      <c r="D5" s="920" t="s">
        <v>987</v>
      </c>
      <c r="E5" s="633" t="str">
        <f>+'Unit-100 - NG Pre-treating'!AI50</f>
        <v>https://doi.org/10.1016/j.ijggc.2012.06.021</v>
      </c>
      <c r="G5" s="126"/>
      <c r="H5" s="126"/>
      <c r="I5" s="126"/>
      <c r="J5" s="126"/>
      <c r="K5" s="126"/>
      <c r="L5" s="92"/>
    </row>
    <row r="6" spans="2:12" ht="27" customHeight="1" x14ac:dyDescent="0.3">
      <c r="B6" s="100">
        <f>+'Unit-100 - NG Pre-treating'!AG51</f>
        <v>3</v>
      </c>
      <c r="C6" s="874" t="str">
        <f>+'Unit-100 - NG Pre-treating'!AH51</f>
        <v>HTC</v>
      </c>
      <c r="D6" s="959" t="s">
        <v>1032</v>
      </c>
      <c r="E6" s="100" t="str">
        <f>+'Unit-100 - NG Pre-treating'!AI51</f>
        <v>https://www.engineeringtoolbox.com/heat-transfer-coefficients-exchangers-d_450.html</v>
      </c>
      <c r="G6" s="126"/>
      <c r="H6" s="126"/>
      <c r="I6" s="126"/>
      <c r="J6" s="126"/>
      <c r="K6" s="126"/>
      <c r="L6" s="92"/>
    </row>
    <row r="7" spans="2:12" ht="27" customHeight="1" x14ac:dyDescent="0.3">
      <c r="B7" s="633">
        <f>+'Unit-200 - GSR'!AG49</f>
        <v>4</v>
      </c>
      <c r="C7" s="896" t="str">
        <f>+'Unit-200 - GSR'!AH49</f>
        <v>Nazir [1]</v>
      </c>
      <c r="D7" s="920" t="s">
        <v>988</v>
      </c>
      <c r="E7" s="633" t="str">
        <f>+'Unit-200 - GSR'!AI49</f>
        <v>https://doi.org/10.1016/j.energy.2019.07.072</v>
      </c>
      <c r="G7" s="126"/>
      <c r="H7" s="126"/>
      <c r="I7" s="126"/>
      <c r="J7" s="126"/>
      <c r="K7" s="126"/>
      <c r="L7" s="92"/>
    </row>
    <row r="8" spans="2:12" ht="27" customHeight="1" x14ac:dyDescent="0.3">
      <c r="B8" s="633">
        <f>+'Unit-400 - WGS'!AG49</f>
        <v>5</v>
      </c>
      <c r="C8" s="896" t="str">
        <f>+'Unit-400 - WGS'!AH49</f>
        <v>Hla [1]</v>
      </c>
      <c r="D8" s="920" t="s">
        <v>989</v>
      </c>
      <c r="E8" s="633" t="str">
        <f>+'Unit-400 - WGS'!AI49</f>
        <v>https://doi.org/10.1016/j.cej.2008.09.023</v>
      </c>
      <c r="G8" s="126"/>
      <c r="H8" s="126"/>
      <c r="I8" s="126"/>
      <c r="J8" s="126"/>
      <c r="K8" s="126"/>
      <c r="L8" s="92"/>
    </row>
    <row r="9" spans="2:12" ht="27" customHeight="1" x14ac:dyDescent="0.3">
      <c r="B9" s="100">
        <f>+'Unit-500 - H2 Production'!H81</f>
        <v>6</v>
      </c>
      <c r="C9" s="874" t="str">
        <f>+'Unit-500 - H2 Production'!I81</f>
        <v>Spallina [1]</v>
      </c>
      <c r="D9" s="633" t="s">
        <v>1042</v>
      </c>
      <c r="E9" s="100" t="str">
        <f>+'Unit-500 - H2 Production'!J81</f>
        <v>https://doi.org/10.1016/j.enconman.2016.04.073</v>
      </c>
      <c r="G9" s="126"/>
      <c r="H9" s="126"/>
      <c r="I9" s="126"/>
      <c r="J9" s="126"/>
      <c r="K9" s="126"/>
      <c r="L9" s="92"/>
    </row>
    <row r="10" spans="2:12" ht="27" customHeight="1" x14ac:dyDescent="0.3">
      <c r="B10" s="633">
        <f>+'Unit-500 - H2 Production'!H82</f>
        <v>7</v>
      </c>
      <c r="C10" s="896" t="str">
        <f>+'Unit-500 - H2 Production'!I82</f>
        <v>IEAGHG</v>
      </c>
      <c r="D10" s="920" t="s">
        <v>990</v>
      </c>
      <c r="E10" s="633" t="str">
        <f>+'Unit-500 - H2 Production'!J82</f>
        <v>https://ieaghg.org/docs/General_Docs/Reports/2014-03.pdf</v>
      </c>
      <c r="G10" s="126"/>
      <c r="H10" s="126"/>
      <c r="I10" s="126"/>
      <c r="J10" s="126"/>
      <c r="K10" s="126"/>
      <c r="L10" s="92"/>
    </row>
    <row r="11" spans="2:12" ht="27" customHeight="1" x14ac:dyDescent="0.3">
      <c r="B11" s="633">
        <f>+'Unit-600 - CO2 CPU'!AG49</f>
        <v>8</v>
      </c>
      <c r="C11" s="896" t="str">
        <f>+'Unit-600 - CO2 CPU'!AH49</f>
        <v>Kolster [1]</v>
      </c>
      <c r="D11" s="920" t="s">
        <v>991</v>
      </c>
      <c r="E11" s="633" t="str">
        <f>+'Unit-600 - CO2 CPU'!AI49</f>
        <v>https://doi.org/10.1016/j.ijggc.2017.01.014</v>
      </c>
      <c r="G11" s="126"/>
      <c r="H11" s="126"/>
      <c r="I11" s="126"/>
      <c r="J11" s="126"/>
      <c r="K11" s="126"/>
      <c r="L11" s="92"/>
    </row>
    <row r="12" spans="2:12" ht="27" customHeight="1" x14ac:dyDescent="0.3">
      <c r="B12" s="100">
        <f>+'Unit-700 - CWT'!G65</f>
        <v>9</v>
      </c>
      <c r="C12" s="874" t="str">
        <f>+'Unit-700 - CWT'!H65</f>
        <v>CWT Costs</v>
      </c>
      <c r="D12" s="959" t="s">
        <v>1035</v>
      </c>
      <c r="E12" s="100" t="str">
        <f>+'Unit-700 - CWT'!I65</f>
        <v>CWT Cost</v>
      </c>
      <c r="G12" s="126"/>
      <c r="H12" s="126"/>
      <c r="I12" s="126"/>
      <c r="J12" s="126"/>
      <c r="K12" s="126"/>
      <c r="L12" s="92"/>
    </row>
    <row r="13" spans="2:12" ht="27" customHeight="1" x14ac:dyDescent="0.3">
      <c r="B13" s="633">
        <f>+'Plant OPEX'!S5</f>
        <v>10</v>
      </c>
      <c r="C13" s="896" t="str">
        <f>+'Plant OPEX'!T5</f>
        <v>Nazir [2]</v>
      </c>
      <c r="D13" s="920" t="s">
        <v>992</v>
      </c>
      <c r="E13" s="633" t="str">
        <f>+'Plant OPEX'!U5</f>
        <v>https://doi.org/10.1016/j.ijhydene.2020.01.234</v>
      </c>
      <c r="G13" s="126"/>
      <c r="H13" s="126"/>
      <c r="I13" s="126"/>
      <c r="J13" s="126"/>
      <c r="K13" s="126"/>
      <c r="L13" s="92"/>
    </row>
    <row r="14" spans="2:12" ht="27" customHeight="1" x14ac:dyDescent="0.3">
      <c r="B14" s="633">
        <f>+'Plant OPEX'!S6</f>
        <v>11</v>
      </c>
      <c r="C14" s="896" t="str">
        <f>+'Plant OPEX'!T6</f>
        <v>EBTF</v>
      </c>
      <c r="D14" s="920" t="s">
        <v>1036</v>
      </c>
      <c r="E14" s="633" t="str">
        <f>+'Plant OPEX'!U6</f>
        <v>https://zenodo.org/record/1312801#.YMsc5GgzZEY</v>
      </c>
      <c r="G14" s="126"/>
      <c r="H14" s="126"/>
      <c r="I14" s="126"/>
      <c r="J14" s="126"/>
      <c r="K14" s="126"/>
      <c r="L14" s="92"/>
    </row>
    <row r="15" spans="2:12" ht="27" customHeight="1" x14ac:dyDescent="0.3">
      <c r="B15" s="633"/>
      <c r="C15" s="896"/>
      <c r="D15" s="633"/>
      <c r="E15" s="633"/>
      <c r="G15" s="126"/>
      <c r="H15" s="126"/>
      <c r="I15" s="126"/>
      <c r="J15" s="126"/>
      <c r="K15" s="126"/>
      <c r="L15" s="92"/>
    </row>
    <row r="16" spans="2:12" ht="27" customHeight="1" x14ac:dyDescent="0.3">
      <c r="B16" s="633"/>
      <c r="C16" s="896"/>
      <c r="D16" s="633"/>
      <c r="E16" s="633"/>
      <c r="G16" s="126"/>
      <c r="H16" s="126"/>
      <c r="I16" s="126"/>
      <c r="J16" s="126"/>
      <c r="K16" s="126"/>
      <c r="L16" s="92"/>
    </row>
    <row r="17" spans="2:12" ht="27" customHeight="1" x14ac:dyDescent="0.3">
      <c r="B17" s="633"/>
      <c r="C17" s="896"/>
      <c r="D17" s="633"/>
      <c r="E17" s="633"/>
      <c r="G17" s="126"/>
      <c r="H17" s="126"/>
      <c r="I17" s="126"/>
      <c r="J17" s="126"/>
      <c r="K17" s="126"/>
      <c r="L17" s="92"/>
    </row>
    <row r="18" spans="2:12" ht="27" customHeight="1" x14ac:dyDescent="0.3">
      <c r="B18" s="633"/>
      <c r="C18" s="896"/>
      <c r="D18" s="633"/>
      <c r="E18" s="633"/>
      <c r="G18" s="126"/>
      <c r="H18" s="126"/>
      <c r="I18" s="126"/>
      <c r="J18" s="126"/>
      <c r="K18" s="126"/>
      <c r="L18" s="92"/>
    </row>
    <row r="19" spans="2:12" ht="27" customHeight="1" x14ac:dyDescent="0.3">
      <c r="B19" s="633"/>
      <c r="C19" s="896"/>
      <c r="D19" s="633"/>
      <c r="E19" s="633"/>
      <c r="G19" s="126"/>
      <c r="H19" s="126"/>
      <c r="I19" s="126"/>
      <c r="J19" s="126"/>
      <c r="K19" s="126"/>
      <c r="L19" s="92"/>
    </row>
    <row r="20" spans="2:12" ht="27" customHeight="1" x14ac:dyDescent="0.3">
      <c r="B20" s="633"/>
      <c r="C20" s="896"/>
      <c r="D20" s="633"/>
      <c r="E20" s="633"/>
      <c r="G20" s="126"/>
      <c r="H20" s="126"/>
      <c r="I20" s="126"/>
      <c r="J20" s="126"/>
      <c r="K20" s="126"/>
      <c r="L20" s="92"/>
    </row>
    <row r="21" spans="2:12" ht="27" customHeight="1" x14ac:dyDescent="0.3">
      <c r="B21" s="633"/>
      <c r="C21" s="896"/>
      <c r="D21" s="633"/>
      <c r="E21" s="633"/>
      <c r="G21" s="126"/>
      <c r="H21" s="126"/>
      <c r="I21" s="126"/>
      <c r="J21" s="126"/>
      <c r="K21" s="126"/>
      <c r="L21" s="92"/>
    </row>
    <row r="22" spans="2:12" ht="27" customHeight="1" x14ac:dyDescent="0.3">
      <c r="B22" s="633"/>
      <c r="C22" s="896"/>
      <c r="D22" s="633"/>
      <c r="E22" s="633"/>
      <c r="G22" s="126"/>
      <c r="H22" s="126"/>
      <c r="I22" s="126"/>
      <c r="J22" s="126"/>
      <c r="K22" s="126"/>
      <c r="L22" s="92"/>
    </row>
    <row r="23" spans="2:12" ht="27" customHeight="1" x14ac:dyDescent="0.3">
      <c r="B23" s="633"/>
      <c r="C23" s="896"/>
      <c r="D23" s="633"/>
      <c r="E23" s="633"/>
      <c r="G23" s="126"/>
      <c r="H23" s="126"/>
      <c r="I23" s="126"/>
      <c r="J23" s="126"/>
      <c r="K23" s="126"/>
      <c r="L23" s="92"/>
    </row>
    <row r="24" spans="2:12" ht="27" customHeight="1" x14ac:dyDescent="0.3">
      <c r="B24" s="633"/>
      <c r="C24" s="896"/>
      <c r="D24" s="633"/>
      <c r="E24" s="633"/>
      <c r="G24" s="126"/>
      <c r="H24" s="126"/>
      <c r="I24" s="126"/>
      <c r="J24" s="126"/>
      <c r="K24" s="126"/>
      <c r="L24" s="92"/>
    </row>
    <row r="25" spans="2:12" ht="27" customHeight="1" x14ac:dyDescent="0.3">
      <c r="B25" s="633"/>
      <c r="C25" s="896"/>
      <c r="D25" s="633"/>
      <c r="E25" s="633"/>
      <c r="G25" s="126"/>
      <c r="H25" s="126"/>
      <c r="I25" s="126"/>
      <c r="J25" s="126"/>
      <c r="K25" s="126"/>
      <c r="L25" s="92"/>
    </row>
    <row r="26" spans="2:12" ht="27" customHeight="1" x14ac:dyDescent="0.3">
      <c r="B26" s="633"/>
      <c r="C26" s="896"/>
      <c r="D26" s="633"/>
      <c r="E26" s="633"/>
      <c r="G26" s="126"/>
      <c r="H26" s="126"/>
      <c r="I26" s="126"/>
      <c r="J26" s="126"/>
      <c r="K26" s="126"/>
      <c r="L26" s="92"/>
    </row>
    <row r="27" spans="2:12" ht="27" customHeight="1" x14ac:dyDescent="0.3">
      <c r="B27" s="633"/>
      <c r="C27" s="896"/>
      <c r="D27" s="633"/>
      <c r="E27" s="633"/>
      <c r="G27" s="126"/>
      <c r="H27" s="126"/>
      <c r="I27" s="126"/>
      <c r="J27" s="126"/>
      <c r="K27" s="126"/>
      <c r="L27" s="92"/>
    </row>
    <row r="28" spans="2:12" ht="27" customHeight="1" x14ac:dyDescent="0.3">
      <c r="B28" s="633"/>
      <c r="C28" s="896"/>
      <c r="D28" s="633"/>
      <c r="E28" s="633"/>
      <c r="G28" s="126"/>
      <c r="H28" s="126"/>
      <c r="I28" s="126"/>
      <c r="J28" s="126"/>
      <c r="K28" s="126"/>
      <c r="L28" s="92"/>
    </row>
    <row r="29" spans="2:12" ht="27" customHeight="1" x14ac:dyDescent="0.3">
      <c r="B29" s="633"/>
      <c r="C29" s="896"/>
      <c r="D29" s="633"/>
      <c r="E29" s="633"/>
      <c r="G29" s="126"/>
      <c r="H29" s="126"/>
      <c r="I29" s="126"/>
      <c r="J29" s="126"/>
      <c r="K29" s="126"/>
      <c r="L29" s="92"/>
    </row>
    <row r="30" spans="2:12" ht="27" customHeight="1" x14ac:dyDescent="0.3">
      <c r="B30" s="633"/>
      <c r="C30" s="896"/>
      <c r="D30" s="633"/>
      <c r="E30" s="633"/>
      <c r="G30" s="126"/>
      <c r="H30" s="126"/>
      <c r="I30" s="126"/>
      <c r="J30" s="126"/>
      <c r="K30" s="126"/>
      <c r="L30" s="92"/>
    </row>
    <row r="31" spans="2:12" ht="27" customHeight="1" x14ac:dyDescent="0.3">
      <c r="B31" s="633"/>
      <c r="C31" s="896"/>
      <c r="D31" s="633"/>
      <c r="E31" s="633"/>
      <c r="G31" s="126"/>
      <c r="H31" s="126"/>
      <c r="I31" s="126"/>
      <c r="J31" s="126"/>
      <c r="K31" s="126"/>
      <c r="L31" s="92"/>
    </row>
    <row r="32" spans="2:12" ht="27" customHeight="1" x14ac:dyDescent="0.3">
      <c r="B32" s="633"/>
      <c r="C32" s="896"/>
      <c r="D32" s="633"/>
      <c r="E32" s="633"/>
      <c r="G32" s="126"/>
      <c r="H32" s="126"/>
      <c r="I32" s="126"/>
      <c r="J32" s="126"/>
      <c r="K32" s="126"/>
      <c r="L32" s="92"/>
    </row>
    <row r="33" spans="2:12" ht="27" customHeight="1" x14ac:dyDescent="0.3">
      <c r="B33" s="633"/>
      <c r="C33" s="896"/>
      <c r="D33" s="633"/>
      <c r="E33" s="633"/>
      <c r="G33" s="126"/>
      <c r="H33" s="126"/>
      <c r="I33" s="126"/>
      <c r="J33" s="126"/>
      <c r="K33" s="126"/>
      <c r="L33" s="92"/>
    </row>
    <row r="34" spans="2:12" ht="27" customHeight="1" x14ac:dyDescent="0.3">
      <c r="B34" s="633"/>
      <c r="C34" s="896"/>
      <c r="D34" s="633"/>
      <c r="E34" s="633"/>
      <c r="G34" s="126"/>
      <c r="H34" s="126"/>
      <c r="I34" s="126"/>
      <c r="J34" s="126"/>
      <c r="K34" s="126"/>
      <c r="L34" s="92"/>
    </row>
    <row r="35" spans="2:12" ht="27" customHeight="1" x14ac:dyDescent="0.3">
      <c r="B35" s="633"/>
      <c r="C35" s="896"/>
      <c r="D35" s="633"/>
      <c r="E35" s="633"/>
      <c r="G35" s="126"/>
      <c r="H35" s="126"/>
      <c r="I35" s="126"/>
      <c r="J35" s="126"/>
      <c r="K35" s="126"/>
      <c r="L35" s="92"/>
    </row>
    <row r="36" spans="2:12" ht="27" customHeight="1" x14ac:dyDescent="0.3">
      <c r="B36" s="633"/>
      <c r="C36" s="896"/>
      <c r="D36" s="633"/>
      <c r="E36" s="633"/>
      <c r="G36" s="126"/>
      <c r="H36" s="126"/>
      <c r="I36" s="126"/>
      <c r="J36" s="126"/>
      <c r="K36" s="126"/>
      <c r="L36" s="92"/>
    </row>
    <row r="37" spans="2:12" ht="27" customHeight="1" x14ac:dyDescent="0.3">
      <c r="B37" s="194"/>
      <c r="C37" s="957"/>
      <c r="D37" s="194"/>
      <c r="E37" s="194"/>
      <c r="G37" s="126"/>
      <c r="H37" s="126"/>
      <c r="I37" s="126"/>
      <c r="J37" s="126"/>
      <c r="K37" s="126"/>
      <c r="L37" s="92"/>
    </row>
    <row r="38" spans="2:12" x14ac:dyDescent="0.3">
      <c r="G38" s="126"/>
      <c r="H38" s="126"/>
      <c r="I38" s="126"/>
      <c r="J38" s="126"/>
      <c r="K38" s="126"/>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70" t="s">
        <v>489</v>
      </c>
      <c r="C2" s="187" t="s">
        <v>314</v>
      </c>
      <c r="D2" s="372" t="s">
        <v>490</v>
      </c>
      <c r="E2" s="83"/>
      <c r="F2" s="376" t="s">
        <v>476</v>
      </c>
      <c r="G2" s="364" t="s">
        <v>602</v>
      </c>
      <c r="H2" s="293" t="s">
        <v>491</v>
      </c>
      <c r="I2" s="83"/>
      <c r="J2" s="1198" t="s">
        <v>492</v>
      </c>
      <c r="K2" s="1200"/>
      <c r="L2" s="373">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4">
        <v>1995</v>
      </c>
      <c r="C3" s="374">
        <v>381.1</v>
      </c>
      <c r="D3" s="272" cm="1">
        <f t="array" aca="1" ref="D3" ca="1">INDIRECT(ADDRESS(MATCH('Plant Overview'!$E$8,'Cost Conversion'!$B$3:$B$48,0)+2,3))/C3</f>
        <v>1.6502230385725529</v>
      </c>
      <c r="E3" s="83"/>
      <c r="F3" s="186" t="s">
        <v>477</v>
      </c>
      <c r="G3" s="365">
        <v>1</v>
      </c>
      <c r="H3" s="27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3" cm="1">
        <f t="array" aca="1" ref="D4" ca="1">INDIRECT(ADDRESS(MATCH('Plant Overview'!$E$8,'Cost Conversion'!$B$3:$B$48,0)+2,3))/C4</f>
        <v>1.6476290280324863</v>
      </c>
      <c r="E4" s="83"/>
      <c r="F4" s="164" t="s">
        <v>478</v>
      </c>
      <c r="G4" s="360">
        <v>0.95</v>
      </c>
      <c r="H4" s="27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3" cm="1">
        <f t="array" aca="1" ref="D5" ca="1">INDIRECT(ADDRESS(MATCH('Plant Overview'!$E$8,'Cost Conversion'!$B$3:$B$48,0)+2,3))/C5</f>
        <v>1.6271668822768435</v>
      </c>
      <c r="E5" s="83"/>
      <c r="F5" s="164" t="s">
        <v>479</v>
      </c>
      <c r="G5" s="360">
        <v>1.1000000000000001</v>
      </c>
      <c r="H5" s="27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3" cm="1">
        <f t="array" aca="1" ref="D6" ca="1">INDIRECT(ADDRESS(MATCH('Plant Overview'!$E$8,'Cost Conversion'!$B$3:$B$48,0)+2,3))/C6</f>
        <v>1.6146341463414633</v>
      </c>
      <c r="E6" s="83"/>
      <c r="F6" s="164" t="s">
        <v>480</v>
      </c>
      <c r="G6" s="360">
        <v>1.1499999999999999</v>
      </c>
      <c r="H6" s="27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3" cm="1">
        <f t="array" aca="1" ref="D7" ca="1">INDIRECT(ADDRESS(MATCH('Plant Overview'!$E$8,'Cost Conversion'!$B$3:$B$48,0)+2,3))/C7</f>
        <v>1.6100870455709164</v>
      </c>
      <c r="E7" s="83"/>
      <c r="F7" s="164" t="s">
        <v>481</v>
      </c>
      <c r="G7" s="360">
        <v>1.25</v>
      </c>
      <c r="H7" s="27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3" cm="1">
        <f t="array" aca="1" ref="D8" ca="1">INDIRECT(ADDRESS(MATCH('Plant Overview'!$E$8,'Cost Conversion'!$B$3:$B$48,0)+2,3))/C8</f>
        <v>1.5957878710987057</v>
      </c>
      <c r="E8" s="83"/>
      <c r="F8" s="164" t="s">
        <v>487</v>
      </c>
      <c r="G8" s="360">
        <v>1.2</v>
      </c>
      <c r="H8" s="27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3" cm="1">
        <f t="array" aca="1" ref="D9" ca="1">INDIRECT(ADDRESS(MATCH('Plant Overview'!$E$8,'Cost Conversion'!$B$3:$B$48,0)+2,3))/C9</f>
        <v>1.5949784428100431</v>
      </c>
      <c r="E9" s="83"/>
      <c r="F9" s="164" t="s">
        <v>599</v>
      </c>
      <c r="G9" s="337">
        <v>0.9</v>
      </c>
      <c r="H9" s="27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3" cm="1">
        <f t="array" aca="1" ref="D10" ca="1">INDIRECT(ADDRESS(MATCH('Plant Overview'!$E$8,'Cost Conversion'!$B$3:$B$48,0)+2,3))/C10</f>
        <v>1.5897371081900908</v>
      </c>
      <c r="E10" s="83"/>
      <c r="F10" s="164" t="s">
        <v>482</v>
      </c>
      <c r="G10" s="360">
        <v>0.95</v>
      </c>
      <c r="H10" s="27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3" cm="1">
        <f t="array" aca="1" ref="D11" ca="1">INDIRECT(ADDRESS(MATCH('Plant Overview'!$E$8,'Cost Conversion'!$B$3:$B$48,0)+2,3))/C11</f>
        <v>1.5644278606965174</v>
      </c>
      <c r="E11" s="83"/>
      <c r="F11" s="164" t="s">
        <v>601</v>
      </c>
      <c r="G11" s="337">
        <v>0.95</v>
      </c>
      <c r="H11" s="27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3" cm="1">
        <f t="array" aca="1" ref="D12" ca="1">INDIRECT(ADDRESS(MATCH('Plant Overview'!$E$8,'Cost Conversion'!$B$3:$B$48,0)+2,3))/C12</f>
        <v>1.4158036920306167</v>
      </c>
      <c r="E12" s="83"/>
      <c r="F12" s="164" t="s">
        <v>483</v>
      </c>
      <c r="G12" s="360">
        <v>1.1499999999999999</v>
      </c>
      <c r="H12" s="27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3" cm="1">
        <f t="array" aca="1" ref="D13" ca="1">INDIRECT(ADDRESS(MATCH('Plant Overview'!$E$8,'Cost Conversion'!$B$3:$B$48,0)+2,3))/C13</f>
        <v>1.3432293891499358</v>
      </c>
      <c r="E13" s="83"/>
      <c r="F13" s="164" t="s">
        <v>600</v>
      </c>
      <c r="G13" s="337">
        <v>1.3</v>
      </c>
      <c r="H13" s="27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3" cm="1">
        <f t="array" aca="1" ref="D14" ca="1">INDIRECT(ADDRESS(MATCH('Plant Overview'!$E$8,'Cost Conversion'!$B$3:$B$48,0)+2,3))/C14</f>
        <v>1.258807045636509</v>
      </c>
      <c r="E14" s="83"/>
      <c r="F14" s="164" t="s">
        <v>484</v>
      </c>
      <c r="G14" s="360">
        <v>0.85</v>
      </c>
      <c r="H14" s="27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3" cm="1">
        <f t="array" aca="1" ref="D15" ca="1">INDIRECT(ADDRESS(MATCH('Plant Overview'!$E$8,'Cost Conversion'!$B$3:$B$48,0)+2,3))/C15</f>
        <v>1.1969927674153027</v>
      </c>
      <c r="E15" s="83"/>
      <c r="F15" s="164" t="s">
        <v>596</v>
      </c>
      <c r="G15" s="337">
        <v>0.75</v>
      </c>
      <c r="H15" s="27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3" cm="1">
        <f t="array" aca="1" ref="D16" ca="1">INDIRECT(ADDRESS(MATCH('Plant Overview'!$E$8,'Cost Conversion'!$B$3:$B$48,0)+2,3))/C16</f>
        <v>1.0929787973583593</v>
      </c>
      <c r="E16" s="83"/>
      <c r="F16" s="164" t="s">
        <v>597</v>
      </c>
      <c r="G16" s="337">
        <v>0.85</v>
      </c>
      <c r="H16" s="27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3" cm="1">
        <f t="array" aca="1" ref="D17" ca="1">INDIRECT(ADDRESS(MATCH('Plant Overview'!$E$8,'Cost Conversion'!$B$3:$B$48,0)+2,3))/C17</f>
        <v>1.2050201187967045</v>
      </c>
      <c r="E17" s="83"/>
      <c r="F17" s="164" t="s">
        <v>598</v>
      </c>
      <c r="G17" s="337">
        <v>0.9</v>
      </c>
      <c r="H17" s="27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3" cm="1">
        <f t="array" aca="1" ref="D18" ca="1">INDIRECT(ADDRESS(MATCH('Plant Overview'!$E$8,'Cost Conversion'!$B$3:$B$48,0)+2,3))/C18</f>
        <v>1.1417937545388526</v>
      </c>
      <c r="E18" s="83"/>
      <c r="F18" s="164"/>
      <c r="G18" s="360">
        <v>1</v>
      </c>
      <c r="H18" s="27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3" cm="1">
        <f t="array" aca="1" ref="D19" ca="1">INDIRECT(ADDRESS(MATCH('Plant Overview'!$E$8,'Cost Conversion'!$B$3:$B$48,0)+2,3))/C19</f>
        <v>1.0737578965340617</v>
      </c>
      <c r="E19" s="83"/>
      <c r="F19" s="164"/>
      <c r="G19" s="360">
        <v>1</v>
      </c>
      <c r="H19" s="27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3" cm="1">
        <f t="array" aca="1" ref="D20" ca="1">INDIRECT(ADDRESS(MATCH('Plant Overview'!$E$8,'Cost Conversion'!$B$3:$B$48,0)+2,3))/C20</f>
        <v>1.0757783099555251</v>
      </c>
      <c r="E20" s="83"/>
      <c r="F20" s="164"/>
      <c r="G20" s="360">
        <v>1</v>
      </c>
      <c r="H20" s="27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3" cm="1">
        <f t="array" aca="1" ref="D21" ca="1">INDIRECT(ADDRESS(MATCH('Plant Overview'!$E$8,'Cost Conversion'!$B$3:$B$48,0)+2,3))/C21</f>
        <v>1.1085845231799754</v>
      </c>
      <c r="E21" s="83"/>
      <c r="F21" s="164"/>
      <c r="G21" s="360">
        <v>1</v>
      </c>
      <c r="H21" s="27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3" cm="1">
        <f t="array" aca="1" ref="D22" ca="1">INDIRECT(ADDRESS(MATCH('Plant Overview'!$E$8,'Cost Conversion'!$B$3:$B$48,0)+2,3))/C22</f>
        <v>1.0916507550772434</v>
      </c>
      <c r="E22" s="83"/>
      <c r="F22" s="197"/>
      <c r="G22" s="338">
        <v>1</v>
      </c>
      <c r="H22" s="27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3" cm="1">
        <f t="array" aca="1" ref="D24" ca="1">INDIRECT(ADDRESS(MATCH('Plant Overview'!$E$8,'Cost Conversion'!$B$3:$B$48,0)+2,3))/C24</f>
        <v>1.1603321033210332</v>
      </c>
      <c r="E24" s="83"/>
      <c r="G24" s="1319" t="s">
        <v>610</v>
      </c>
      <c r="H24" s="1319"/>
      <c r="I24" s="1319"/>
      <c r="J24" s="371" t="s">
        <v>609</v>
      </c>
      <c r="K24" s="340">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3" cm="1">
        <f t="array" aca="1" ref="D25" ca="1">INDIRECT(ADDRESS(MATCH('Plant Overview'!$E$8,'Cost Conversion'!$B$3:$B$48,0)+2,3))/C25</f>
        <v>1.108193832599119</v>
      </c>
      <c r="E25" s="83"/>
      <c r="F25" s="366" t="s">
        <v>476</v>
      </c>
      <c r="G25" s="366" t="s">
        <v>229</v>
      </c>
      <c r="H25" s="371"/>
      <c r="I25" s="367"/>
      <c r="J25" s="373" t="s">
        <v>625</v>
      </c>
      <c r="K25" s="367" t="s">
        <v>611</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3" cm="1">
        <f t="array" aca="1" ref="D26" ca="1">INDIRECT(ADDRESS(MATCH('Plant Overview'!$E$8,'Cost Conversion'!$B$3:$B$48,0)+2,3))/C26</f>
        <v>1.0427789752943126</v>
      </c>
      <c r="E26" s="83"/>
      <c r="F26" s="368" t="s">
        <v>603</v>
      </c>
      <c r="G26" s="360">
        <v>1</v>
      </c>
      <c r="H26" s="243">
        <v>1</v>
      </c>
      <c r="I26" s="361">
        <v>1</v>
      </c>
      <c r="J26" s="275">
        <f t="shared" ref="J26:J38" si="0">H26*I26</f>
        <v>1</v>
      </c>
      <c r="K26" s="361">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3" cm="1">
        <f t="array" aca="1" ref="D27" ca="1">INDIRECT(ADDRESS(MATCH('Plant Overview'!$E$8,'Cost Conversion'!$B$3:$B$48,0)+2,3))/C27</f>
        <v>1.0352263374485597</v>
      </c>
      <c r="E27" s="83"/>
      <c r="F27" s="368" t="s">
        <v>604</v>
      </c>
      <c r="G27" s="360">
        <v>0.95</v>
      </c>
      <c r="H27" s="243">
        <v>1.19</v>
      </c>
      <c r="I27" s="361">
        <v>1.04</v>
      </c>
      <c r="J27" s="275">
        <f t="shared" si="0"/>
        <v>1.2376</v>
      </c>
      <c r="K27" s="361">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8">
        <v>628.9</v>
      </c>
      <c r="D28" s="273" cm="1">
        <f t="array" aca="1" ref="D28" ca="1">INDIRECT(ADDRESS(MATCH('Plant Overview'!$E$8,'Cost Conversion'!$B$3:$B$48,0)+2,3))/C28</f>
        <v>1</v>
      </c>
      <c r="E28" s="83"/>
      <c r="F28" s="368" t="s">
        <v>605</v>
      </c>
      <c r="G28" s="360">
        <v>1.01</v>
      </c>
      <c r="H28" s="243">
        <v>1.54</v>
      </c>
      <c r="I28" s="361">
        <v>1.87</v>
      </c>
      <c r="J28" s="275">
        <f t="shared" si="0"/>
        <v>2.8798000000000004</v>
      </c>
      <c r="K28" s="361">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8">
        <v>637.70000000000095</v>
      </c>
      <c r="D29" s="273" cm="1">
        <f t="array" aca="1" ref="D29" ca="1">INDIRECT(ADDRESS(MATCH('Plant Overview'!$E$8,'Cost Conversion'!$B$3:$B$48,0)+2,3))/C29</f>
        <v>0.9862004077152251</v>
      </c>
      <c r="E29" s="83"/>
      <c r="F29" s="368" t="s">
        <v>606</v>
      </c>
      <c r="G29" s="360">
        <v>1.1000000000000001</v>
      </c>
      <c r="H29" s="243">
        <v>1.4</v>
      </c>
      <c r="I29" s="361">
        <v>1.3</v>
      </c>
      <c r="J29" s="275">
        <f t="shared" si="0"/>
        <v>1.8199999999999998</v>
      </c>
      <c r="K29" s="361">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8">
        <v>646.50000000000102</v>
      </c>
      <c r="D30" s="273" cm="1">
        <f t="array" aca="1" ref="D30" ca="1">INDIRECT(ADDRESS(MATCH('Plant Overview'!$E$8,'Cost Conversion'!$B$3:$B$48,0)+2,3))/C30</f>
        <v>0.97277648878576795</v>
      </c>
      <c r="E30" s="83"/>
      <c r="F30" s="368" t="s">
        <v>596</v>
      </c>
      <c r="G30" s="360">
        <v>0.87</v>
      </c>
      <c r="H30" s="243">
        <v>2.86</v>
      </c>
      <c r="I30" s="361">
        <v>0.21</v>
      </c>
      <c r="J30" s="275">
        <f t="shared" si="0"/>
        <v>0.60059999999999991</v>
      </c>
      <c r="K30" s="361">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8">
        <v>655.30000000000098</v>
      </c>
      <c r="D31" s="273" cm="1">
        <f t="array" aca="1" ref="D31" ca="1">INDIRECT(ADDRESS(MATCH('Plant Overview'!$E$8,'Cost Conversion'!$B$3:$B$48,0)+2,3))/C31</f>
        <v>0.9597131084999222</v>
      </c>
      <c r="E31" s="83"/>
      <c r="F31" s="368" t="s">
        <v>599</v>
      </c>
      <c r="G31" s="360">
        <v>0.93</v>
      </c>
      <c r="H31" s="243">
        <v>1.6</v>
      </c>
      <c r="I31" s="361">
        <v>0.55000000000000004</v>
      </c>
      <c r="J31" s="275">
        <f t="shared" si="0"/>
        <v>0.88000000000000012</v>
      </c>
      <c r="K31" s="361">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8">
        <v>664.10000000000105</v>
      </c>
      <c r="D32" s="273" cm="1">
        <f t="array" aca="1" ref="D32" ca="1">INDIRECT(ADDRESS(MATCH('Plant Overview'!$E$8,'Cost Conversion'!$B$3:$B$48,0)+2,3))/C32</f>
        <v>0.94699593434723539</v>
      </c>
      <c r="E32" s="83"/>
      <c r="F32" s="368" t="s">
        <v>607</v>
      </c>
      <c r="G32" s="360">
        <v>1.01</v>
      </c>
      <c r="H32" s="243">
        <v>1.25</v>
      </c>
      <c r="I32" s="361">
        <v>1.36</v>
      </c>
      <c r="J32" s="275">
        <f t="shared" si="0"/>
        <v>1.7000000000000002</v>
      </c>
      <c r="K32" s="361">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8">
        <v>672.900000000001</v>
      </c>
      <c r="D33" s="273" cm="1">
        <f t="array" aca="1" ref="D33" ca="1">INDIRECT(ADDRESS(MATCH('Plant Overview'!$E$8,'Cost Conversion'!$B$3:$B$48,0)+2,3))/C33</f>
        <v>0.93461138356367812</v>
      </c>
      <c r="E33" s="83"/>
      <c r="F33" s="368" t="s">
        <v>484</v>
      </c>
      <c r="G33" s="360">
        <v>0.94</v>
      </c>
      <c r="H33" s="243">
        <v>3.03</v>
      </c>
      <c r="I33" s="361">
        <v>0.35</v>
      </c>
      <c r="J33" s="275">
        <f t="shared" si="0"/>
        <v>1.0604999999999998</v>
      </c>
      <c r="K33" s="361">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8">
        <v>681.70000000000095</v>
      </c>
      <c r="D34" s="273" cm="1">
        <f t="array" aca="1" ref="D34" ca="1">INDIRECT(ADDRESS(MATCH('Plant Overview'!$E$8,'Cost Conversion'!$B$3:$B$48,0)+2,3))/C34</f>
        <v>0.92254657473962021</v>
      </c>
      <c r="E34" s="83"/>
      <c r="F34" s="368" t="s">
        <v>483</v>
      </c>
      <c r="G34" s="360">
        <v>0.9</v>
      </c>
      <c r="H34" s="243">
        <v>1.22</v>
      </c>
      <c r="I34" s="361">
        <v>0.92</v>
      </c>
      <c r="J34" s="275">
        <f t="shared" si="0"/>
        <v>1.1224000000000001</v>
      </c>
      <c r="K34" s="361">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8">
        <v>690.50000000000102</v>
      </c>
      <c r="D35" s="273" cm="1">
        <f t="array" aca="1" ref="D35" ca="1">INDIRECT(ADDRESS(MATCH('Plant Overview'!$E$8,'Cost Conversion'!$B$3:$B$48,0)+2,3))/C35</f>
        <v>0.91078928312816665</v>
      </c>
      <c r="E35" s="83"/>
      <c r="F35" s="368" t="s">
        <v>598</v>
      </c>
      <c r="G35" s="360">
        <v>0.94</v>
      </c>
      <c r="H35" s="243">
        <v>2.2999999999999998</v>
      </c>
      <c r="I35" s="361">
        <v>0.32</v>
      </c>
      <c r="J35" s="275">
        <f t="shared" si="0"/>
        <v>0.73599999999999999</v>
      </c>
      <c r="K35" s="361">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8">
        <v>699.30000000000098</v>
      </c>
      <c r="D36" s="273" cm="1">
        <f t="array" aca="1" ref="D36" ca="1">INDIRECT(ADDRESS(MATCH('Plant Overview'!$E$8,'Cost Conversion'!$B$3:$B$48,0)+2,3))/C36</f>
        <v>0.89932789932789803</v>
      </c>
      <c r="E36" s="83"/>
      <c r="F36" s="368" t="s">
        <v>608</v>
      </c>
      <c r="G36" s="360">
        <v>1.05</v>
      </c>
      <c r="H36" s="243">
        <v>2.8</v>
      </c>
      <c r="I36" s="361">
        <v>0.95</v>
      </c>
      <c r="J36" s="275">
        <f t="shared" si="0"/>
        <v>2.6599999999999997</v>
      </c>
      <c r="K36" s="361">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8">
        <v>708.10000000000105</v>
      </c>
      <c r="D37" s="273" cm="1">
        <f t="array" aca="1" ref="D37" ca="1">INDIRECT(ADDRESS(MATCH('Plant Overview'!$E$8,'Cost Conversion'!$B$3:$B$48,0)+2,3))/C37</f>
        <v>0.88815139104646101</v>
      </c>
      <c r="E37" s="83"/>
      <c r="F37" s="368" t="s">
        <v>601</v>
      </c>
      <c r="G37" s="360">
        <v>1.01</v>
      </c>
      <c r="H37" s="243">
        <v>2</v>
      </c>
      <c r="I37" s="361">
        <v>0.38</v>
      </c>
      <c r="J37" s="275">
        <f t="shared" si="0"/>
        <v>0.76</v>
      </c>
      <c r="K37" s="361">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8">
        <v>716.900000000001</v>
      </c>
      <c r="D38" s="273" cm="1">
        <f t="array" aca="1" ref="D38" ca="1">INDIRECT(ADDRESS(MATCH('Plant Overview'!$E$8,'Cost Conversion'!$B$3:$B$48,0)+2,3))/C38</f>
        <v>0.87724926768028888</v>
      </c>
      <c r="E38" s="83"/>
      <c r="F38" s="369" t="s">
        <v>597</v>
      </c>
      <c r="G38" s="362">
        <v>0.93</v>
      </c>
      <c r="H38" s="335">
        <v>2.2200000000000002</v>
      </c>
      <c r="I38" s="363">
        <v>0.32</v>
      </c>
      <c r="J38" s="336">
        <f t="shared" si="0"/>
        <v>0.71040000000000003</v>
      </c>
      <c r="K38" s="363">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8">
        <v>725.70000000000095</v>
      </c>
      <c r="D39" s="27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8">
        <v>734.50000000000102</v>
      </c>
      <c r="D40" s="27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8">
        <v>743.30000000000098</v>
      </c>
      <c r="D41" s="27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8">
        <v>752.10000000000105</v>
      </c>
      <c r="D42" s="27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8">
        <v>760.90000000000202</v>
      </c>
      <c r="D43" s="27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8">
        <v>769.70000000000198</v>
      </c>
      <c r="D44" s="27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8">
        <v>778.50000000000205</v>
      </c>
      <c r="D45" s="27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8">
        <v>787.300000000002</v>
      </c>
      <c r="D46" s="27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8">
        <v>796.10000000000196</v>
      </c>
      <c r="D47" s="27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5">
        <v>2040</v>
      </c>
      <c r="C48" s="329">
        <v>804.90000000000202</v>
      </c>
      <c r="D48" s="27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1320" t="s">
        <v>330</v>
      </c>
      <c r="C2" s="1321"/>
      <c r="D2" s="1321"/>
      <c r="E2" s="1321"/>
      <c r="F2" s="1322"/>
    </row>
    <row r="3" spans="2:11" x14ac:dyDescent="0.3">
      <c r="B3" s="97"/>
      <c r="J3" s="343"/>
      <c r="K3" s="86" t="s">
        <v>628</v>
      </c>
    </row>
    <row r="4" spans="2:11" x14ac:dyDescent="0.3">
      <c r="B4" s="97"/>
      <c r="J4" s="344"/>
      <c r="K4" s="86" t="s">
        <v>629</v>
      </c>
    </row>
    <row r="5" spans="2:11" ht="18" x14ac:dyDescent="0.3">
      <c r="B5" s="87" t="s">
        <v>342</v>
      </c>
      <c r="C5" s="131" t="s">
        <v>312</v>
      </c>
      <c r="D5" s="132" t="s">
        <v>350</v>
      </c>
      <c r="E5" s="132" t="s">
        <v>286</v>
      </c>
      <c r="F5" s="133" t="s">
        <v>375</v>
      </c>
      <c r="G5" s="134" t="s">
        <v>627</v>
      </c>
      <c r="H5" s="135" t="s">
        <v>626</v>
      </c>
    </row>
    <row r="6" spans="2:11" ht="15.6" x14ac:dyDescent="0.3">
      <c r="B6" s="1131">
        <v>1</v>
      </c>
      <c r="C6" s="1325" t="s">
        <v>313</v>
      </c>
      <c r="D6" s="136" t="s">
        <v>238</v>
      </c>
      <c r="E6" s="136"/>
      <c r="F6" s="137"/>
      <c r="G6" s="322"/>
      <c r="H6" s="326"/>
    </row>
    <row r="7" spans="2:11" ht="15.6" x14ac:dyDescent="0.3">
      <c r="B7" s="1328"/>
      <c r="C7" s="1326"/>
      <c r="D7" s="138"/>
      <c r="E7" s="138" t="s">
        <v>290</v>
      </c>
      <c r="F7" s="139" t="s">
        <v>288</v>
      </c>
      <c r="G7" s="318"/>
      <c r="H7" s="93"/>
    </row>
    <row r="8" spans="2:11" ht="15.6" x14ac:dyDescent="0.3">
      <c r="B8" s="1328"/>
      <c r="C8" s="1326"/>
      <c r="D8" s="138"/>
      <c r="E8" s="138"/>
      <c r="F8" s="139" t="s">
        <v>294</v>
      </c>
      <c r="G8" s="318"/>
      <c r="H8" s="100"/>
    </row>
    <row r="9" spans="2:11" ht="15.6" x14ac:dyDescent="0.3">
      <c r="B9" s="1328"/>
      <c r="C9" s="1326"/>
      <c r="D9" s="138"/>
      <c r="E9" s="138"/>
      <c r="F9" s="139" t="s">
        <v>287</v>
      </c>
      <c r="G9" s="318"/>
      <c r="H9" s="100"/>
    </row>
    <row r="10" spans="2:11" ht="15.6" x14ac:dyDescent="0.3">
      <c r="B10" s="1328"/>
      <c r="C10" s="1326"/>
      <c r="D10" s="138"/>
      <c r="E10" s="138"/>
      <c r="F10" s="139" t="s">
        <v>289</v>
      </c>
      <c r="G10" s="345"/>
      <c r="H10" s="100" t="s">
        <v>229</v>
      </c>
    </row>
    <row r="11" spans="2:11" ht="15.6" x14ac:dyDescent="0.3">
      <c r="B11" s="1328"/>
      <c r="C11" s="1326"/>
      <c r="D11" s="138"/>
      <c r="E11" s="138" t="s">
        <v>397</v>
      </c>
      <c r="F11" s="139"/>
      <c r="G11" s="318"/>
      <c r="H11" s="100"/>
    </row>
    <row r="12" spans="2:11" ht="15.6" x14ac:dyDescent="0.3">
      <c r="B12" s="1132"/>
      <c r="C12" s="1327"/>
      <c r="D12" s="140"/>
      <c r="E12" s="140" t="s">
        <v>291</v>
      </c>
      <c r="F12" s="146"/>
      <c r="G12" s="319"/>
      <c r="H12" s="327"/>
    </row>
    <row r="13" spans="2:11" ht="15.6" x14ac:dyDescent="0.3">
      <c r="B13" s="1328">
        <v>2</v>
      </c>
      <c r="C13" s="1325" t="s">
        <v>418</v>
      </c>
      <c r="D13" s="141" t="s">
        <v>285</v>
      </c>
      <c r="E13" s="141"/>
      <c r="F13" s="136" t="s">
        <v>295</v>
      </c>
      <c r="G13" s="323"/>
      <c r="H13" s="326"/>
    </row>
    <row r="14" spans="2:11" ht="15.6" x14ac:dyDescent="0.3">
      <c r="B14" s="1328"/>
      <c r="C14" s="1326"/>
      <c r="D14" s="142"/>
      <c r="E14" s="142" t="s">
        <v>292</v>
      </c>
      <c r="F14" s="138" t="s">
        <v>296</v>
      </c>
      <c r="G14" s="167"/>
      <c r="H14" s="100"/>
    </row>
    <row r="15" spans="2:11" ht="15.6" x14ac:dyDescent="0.3">
      <c r="B15" s="1328"/>
      <c r="C15" s="1326"/>
      <c r="D15" s="142"/>
      <c r="E15" s="142" t="s">
        <v>338</v>
      </c>
      <c r="F15" s="138" t="s">
        <v>323</v>
      </c>
      <c r="G15" s="346"/>
      <c r="H15" s="100"/>
    </row>
    <row r="16" spans="2:11" ht="15.6" x14ac:dyDescent="0.3">
      <c r="B16" s="1328"/>
      <c r="C16" s="1326"/>
      <c r="D16" s="142"/>
      <c r="E16" s="142" t="s">
        <v>293</v>
      </c>
      <c r="F16" s="138" t="s">
        <v>324</v>
      </c>
      <c r="G16" s="315"/>
      <c r="H16" s="100"/>
    </row>
    <row r="17" spans="2:8" ht="15.6" x14ac:dyDescent="0.3">
      <c r="B17" s="1328"/>
      <c r="C17" s="1326"/>
      <c r="D17" s="142"/>
      <c r="E17" s="142" t="s">
        <v>297</v>
      </c>
      <c r="F17" s="138" t="s">
        <v>336</v>
      </c>
      <c r="G17" s="315"/>
      <c r="H17" s="100"/>
    </row>
    <row r="18" spans="2:8" ht="15.6" x14ac:dyDescent="0.3">
      <c r="B18" s="1328"/>
      <c r="C18" s="1326"/>
      <c r="D18" s="142"/>
      <c r="E18" s="142" t="s">
        <v>335</v>
      </c>
      <c r="F18" s="138" t="s">
        <v>337</v>
      </c>
      <c r="G18" s="315"/>
      <c r="H18" s="100"/>
    </row>
    <row r="19" spans="2:8" ht="15.6" x14ac:dyDescent="0.3">
      <c r="B19" s="1328"/>
      <c r="C19" s="1326"/>
      <c r="D19" s="142"/>
      <c r="E19" s="142" t="s">
        <v>339</v>
      </c>
      <c r="F19" s="138" t="s">
        <v>345</v>
      </c>
      <c r="G19" s="315"/>
      <c r="H19" s="100"/>
    </row>
    <row r="20" spans="2:8" ht="15.6" x14ac:dyDescent="0.3">
      <c r="B20" s="1328"/>
      <c r="C20" s="1326"/>
      <c r="D20" s="142"/>
      <c r="E20" s="142"/>
      <c r="F20" s="138" t="s">
        <v>346</v>
      </c>
      <c r="G20" s="315"/>
      <c r="H20" s="100"/>
    </row>
    <row r="21" spans="2:8" ht="15.6" x14ac:dyDescent="0.3">
      <c r="B21" s="1328"/>
      <c r="C21" s="1326"/>
      <c r="D21" s="142"/>
      <c r="E21" s="142"/>
      <c r="F21" s="138" t="s">
        <v>347</v>
      </c>
      <c r="G21" s="315"/>
      <c r="H21" s="100"/>
    </row>
    <row r="22" spans="2:8" ht="15.6" x14ac:dyDescent="0.3">
      <c r="B22" s="1328"/>
      <c r="C22" s="1326"/>
      <c r="D22" s="142" t="s">
        <v>317</v>
      </c>
      <c r="E22" s="142"/>
      <c r="F22" s="138"/>
      <c r="G22" s="315"/>
      <c r="H22" s="100"/>
    </row>
    <row r="23" spans="2:8" ht="15.6" x14ac:dyDescent="0.3">
      <c r="B23" s="1328"/>
      <c r="C23" s="1326"/>
      <c r="D23" s="142"/>
      <c r="E23" s="142" t="s">
        <v>318</v>
      </c>
      <c r="F23" s="138"/>
      <c r="G23" s="315"/>
      <c r="H23" s="100"/>
    </row>
    <row r="24" spans="2:8" ht="15.6" x14ac:dyDescent="0.3">
      <c r="B24" s="1328"/>
      <c r="C24" s="1326"/>
      <c r="D24" s="142"/>
      <c r="E24" s="142" t="s">
        <v>319</v>
      </c>
      <c r="F24" s="138"/>
      <c r="G24" s="315"/>
      <c r="H24" s="100"/>
    </row>
    <row r="25" spans="2:8" ht="15.6" x14ac:dyDescent="0.3">
      <c r="B25" s="1328"/>
      <c r="C25" s="1326"/>
      <c r="D25" s="142"/>
      <c r="E25" s="142" t="s">
        <v>389</v>
      </c>
      <c r="F25" s="138" t="s">
        <v>390</v>
      </c>
      <c r="G25" s="315"/>
      <c r="H25" s="100"/>
    </row>
    <row r="26" spans="2:8" ht="15.6" x14ac:dyDescent="0.3">
      <c r="B26" s="1328"/>
      <c r="C26" s="1326"/>
      <c r="D26" s="142"/>
      <c r="E26" s="142"/>
      <c r="F26" s="138" t="s">
        <v>391</v>
      </c>
      <c r="G26" s="315"/>
      <c r="H26" s="100"/>
    </row>
    <row r="27" spans="2:8" ht="15.6" x14ac:dyDescent="0.3">
      <c r="B27" s="1132"/>
      <c r="C27" s="1327"/>
      <c r="D27" s="143"/>
      <c r="E27" s="143" t="s">
        <v>433</v>
      </c>
      <c r="F27" s="140"/>
      <c r="G27" s="320"/>
      <c r="H27" s="327"/>
    </row>
    <row r="28" spans="2:8" ht="15.6" x14ac:dyDescent="0.3">
      <c r="B28" s="1131">
        <v>3</v>
      </c>
      <c r="C28" s="1329" t="s">
        <v>316</v>
      </c>
      <c r="D28" s="136" t="s">
        <v>40</v>
      </c>
      <c r="E28" s="136"/>
      <c r="F28" s="137"/>
      <c r="G28" s="322"/>
      <c r="H28" s="326"/>
    </row>
    <row r="29" spans="2:8" ht="15.6" x14ac:dyDescent="0.3">
      <c r="B29" s="1328"/>
      <c r="C29" s="1323"/>
      <c r="D29" s="138"/>
      <c r="E29" s="138" t="s">
        <v>298</v>
      </c>
      <c r="F29" s="139" t="s">
        <v>301</v>
      </c>
      <c r="G29" s="318"/>
      <c r="H29" s="100"/>
    </row>
    <row r="30" spans="2:8" ht="15.6" x14ac:dyDescent="0.3">
      <c r="B30" s="1328"/>
      <c r="C30" s="1323"/>
      <c r="D30" s="138"/>
      <c r="E30" s="138" t="s">
        <v>299</v>
      </c>
      <c r="F30" s="139" t="s">
        <v>302</v>
      </c>
      <c r="G30" s="318"/>
      <c r="H30" s="100"/>
    </row>
    <row r="31" spans="2:8" ht="15.6" x14ac:dyDescent="0.3">
      <c r="B31" s="1328"/>
      <c r="C31" s="1323"/>
      <c r="D31" s="138"/>
      <c r="E31" s="138" t="s">
        <v>300</v>
      </c>
      <c r="F31" s="139" t="s">
        <v>303</v>
      </c>
      <c r="G31" s="318"/>
      <c r="H31" s="100"/>
    </row>
    <row r="32" spans="2:8" ht="15.6" x14ac:dyDescent="0.3">
      <c r="B32" s="1328"/>
      <c r="C32" s="1323"/>
      <c r="D32" s="138"/>
      <c r="E32" s="138" t="s">
        <v>362</v>
      </c>
      <c r="F32" s="139"/>
      <c r="G32" s="318"/>
      <c r="H32" s="100"/>
    </row>
    <row r="33" spans="2:8" ht="15.6" x14ac:dyDescent="0.3">
      <c r="B33" s="1328"/>
      <c r="C33" s="1323"/>
      <c r="D33" s="138" t="s">
        <v>404</v>
      </c>
      <c r="E33" s="138" t="s">
        <v>41</v>
      </c>
      <c r="F33" s="139"/>
      <c r="G33" s="318"/>
      <c r="H33" s="100"/>
    </row>
    <row r="34" spans="2:8" ht="15.6" x14ac:dyDescent="0.3">
      <c r="B34" s="1328"/>
      <c r="C34" s="1323"/>
      <c r="D34" s="138"/>
      <c r="E34" s="138" t="s">
        <v>331</v>
      </c>
      <c r="F34" s="139" t="s">
        <v>409</v>
      </c>
      <c r="G34" s="318"/>
      <c r="H34" s="100"/>
    </row>
    <row r="35" spans="2:8" ht="15.6" x14ac:dyDescent="0.3">
      <c r="B35" s="1328"/>
      <c r="C35" s="1323"/>
      <c r="D35" s="138"/>
      <c r="E35" s="138"/>
      <c r="F35" s="139" t="s">
        <v>410</v>
      </c>
      <c r="G35" s="318"/>
      <c r="H35" s="100"/>
    </row>
    <row r="36" spans="2:8" ht="15.6" x14ac:dyDescent="0.3">
      <c r="B36" s="1328"/>
      <c r="C36" s="1323"/>
      <c r="D36" s="138"/>
      <c r="E36" s="138" t="s">
        <v>405</v>
      </c>
      <c r="F36" s="139" t="s">
        <v>408</v>
      </c>
      <c r="G36" s="318"/>
      <c r="H36" s="100"/>
    </row>
    <row r="37" spans="2:8" ht="15.6" x14ac:dyDescent="0.3">
      <c r="B37" s="1328"/>
      <c r="C37" s="1323"/>
      <c r="D37" s="138" t="s">
        <v>413</v>
      </c>
      <c r="E37" s="138" t="s">
        <v>332</v>
      </c>
      <c r="F37" s="139"/>
      <c r="G37" s="318"/>
      <c r="H37" s="100"/>
    </row>
    <row r="38" spans="2:8" ht="15.6" x14ac:dyDescent="0.3">
      <c r="B38" s="1328"/>
      <c r="C38" s="1323"/>
      <c r="D38" s="138"/>
      <c r="E38" s="138" t="s">
        <v>349</v>
      </c>
      <c r="F38" s="139"/>
      <c r="G38" s="318"/>
      <c r="H38" s="100"/>
    </row>
    <row r="39" spans="2:8" ht="15.6" x14ac:dyDescent="0.3">
      <c r="B39" s="1328"/>
      <c r="C39" s="1323"/>
      <c r="D39" s="138" t="s">
        <v>407</v>
      </c>
      <c r="E39" s="138" t="s">
        <v>435</v>
      </c>
      <c r="F39" s="139"/>
      <c r="G39" s="318"/>
      <c r="H39" s="100"/>
    </row>
    <row r="40" spans="2:8" ht="15.6" x14ac:dyDescent="0.3">
      <c r="B40" s="1328"/>
      <c r="C40" s="1323"/>
      <c r="D40" s="138" t="s">
        <v>436</v>
      </c>
      <c r="E40" s="138"/>
      <c r="F40" s="139"/>
      <c r="G40" s="318"/>
      <c r="H40" s="100"/>
    </row>
    <row r="41" spans="2:8" ht="15.6" x14ac:dyDescent="0.3">
      <c r="B41" s="1328"/>
      <c r="C41" s="1323"/>
      <c r="D41" s="138"/>
      <c r="E41" s="138" t="s">
        <v>403</v>
      </c>
      <c r="F41" s="139"/>
      <c r="G41" s="318"/>
      <c r="H41" s="100"/>
    </row>
    <row r="42" spans="2:8" ht="15.6" x14ac:dyDescent="0.3">
      <c r="B42" s="1328"/>
      <c r="C42" s="1323"/>
      <c r="D42" s="138"/>
      <c r="E42" s="138" t="s">
        <v>406</v>
      </c>
      <c r="F42" s="139"/>
      <c r="G42" s="318"/>
      <c r="H42" s="100"/>
    </row>
    <row r="43" spans="2:8" ht="15.6" x14ac:dyDescent="0.3">
      <c r="B43" s="1328"/>
      <c r="C43" s="1323"/>
      <c r="D43" s="138" t="s">
        <v>374</v>
      </c>
      <c r="E43" s="138"/>
      <c r="F43" s="139"/>
      <c r="G43" s="318"/>
      <c r="H43" s="100"/>
    </row>
    <row r="44" spans="2:8" ht="15.6" x14ac:dyDescent="0.3">
      <c r="B44" s="1328"/>
      <c r="C44" s="1323"/>
      <c r="D44" s="138" t="s">
        <v>401</v>
      </c>
      <c r="E44" s="138"/>
      <c r="F44" s="139"/>
      <c r="G44" s="318"/>
      <c r="H44" s="100"/>
    </row>
    <row r="45" spans="2:8" ht="15.6" x14ac:dyDescent="0.3">
      <c r="B45" s="1328"/>
      <c r="C45" s="1323"/>
      <c r="D45" s="138" t="s">
        <v>402</v>
      </c>
      <c r="E45" s="138"/>
      <c r="F45" s="139"/>
      <c r="G45" s="318"/>
      <c r="H45" s="100"/>
    </row>
    <row r="46" spans="2:8" ht="15.6" x14ac:dyDescent="0.3">
      <c r="B46" s="1328"/>
      <c r="C46" s="1323"/>
      <c r="D46" s="138"/>
      <c r="E46" s="138" t="s">
        <v>399</v>
      </c>
      <c r="F46" s="139"/>
      <c r="G46" s="318"/>
      <c r="H46" s="100"/>
    </row>
    <row r="47" spans="2:8" ht="15.6" x14ac:dyDescent="0.3">
      <c r="B47" s="1328"/>
      <c r="C47" s="1323"/>
      <c r="D47" s="138"/>
      <c r="E47" s="138" t="s">
        <v>411</v>
      </c>
      <c r="F47" s="139"/>
      <c r="G47" s="318"/>
      <c r="H47" s="100"/>
    </row>
    <row r="48" spans="2:8" ht="15.6" x14ac:dyDescent="0.3">
      <c r="B48" s="1328"/>
      <c r="C48" s="1323"/>
      <c r="D48" s="138" t="s">
        <v>355</v>
      </c>
      <c r="E48" s="138"/>
      <c r="F48" s="139"/>
      <c r="G48" s="318"/>
      <c r="H48" s="100"/>
    </row>
    <row r="49" spans="2:8" ht="15.6" x14ac:dyDescent="0.3">
      <c r="B49" s="1328"/>
      <c r="C49" s="1323"/>
      <c r="D49" s="144"/>
      <c r="E49" s="138" t="s">
        <v>412</v>
      </c>
      <c r="F49" s="139"/>
      <c r="G49" s="318"/>
      <c r="H49" s="100"/>
    </row>
    <row r="50" spans="2:8" ht="15.6" x14ac:dyDescent="0.3">
      <c r="B50" s="1328"/>
      <c r="C50" s="1323"/>
      <c r="D50" s="144"/>
      <c r="E50" s="138" t="s">
        <v>400</v>
      </c>
      <c r="F50" s="139"/>
      <c r="G50" s="318"/>
      <c r="H50" s="100"/>
    </row>
    <row r="51" spans="2:8" ht="15.6" x14ac:dyDescent="0.3">
      <c r="B51" s="1132"/>
      <c r="C51" s="1324"/>
      <c r="D51" s="341"/>
      <c r="E51" s="140" t="s">
        <v>363</v>
      </c>
      <c r="F51" s="146"/>
      <c r="G51" s="319"/>
      <c r="H51" s="327"/>
    </row>
    <row r="52" spans="2:8" ht="15.6" x14ac:dyDescent="0.3">
      <c r="B52" s="1131">
        <v>4</v>
      </c>
      <c r="C52" s="1330" t="s">
        <v>434</v>
      </c>
      <c r="D52" s="136" t="s">
        <v>344</v>
      </c>
      <c r="E52" s="141"/>
      <c r="F52" s="136"/>
      <c r="G52" s="322"/>
      <c r="H52" s="326"/>
    </row>
    <row r="53" spans="2:8" ht="15.6" x14ac:dyDescent="0.3">
      <c r="B53" s="1328"/>
      <c r="C53" s="1331"/>
      <c r="D53" s="138"/>
      <c r="E53" s="142" t="s">
        <v>307</v>
      </c>
      <c r="F53" s="138" t="s">
        <v>304</v>
      </c>
      <c r="G53" s="318"/>
      <c r="H53" s="100"/>
    </row>
    <row r="54" spans="2:8" ht="15.6" x14ac:dyDescent="0.3">
      <c r="B54" s="1328"/>
      <c r="C54" s="1331"/>
      <c r="D54" s="138"/>
      <c r="E54" s="142" t="s">
        <v>306</v>
      </c>
      <c r="F54" s="138" t="s">
        <v>305</v>
      </c>
      <c r="G54" s="318"/>
      <c r="H54" s="100"/>
    </row>
    <row r="55" spans="2:8" ht="15.6" x14ac:dyDescent="0.3">
      <c r="B55" s="1328"/>
      <c r="C55" s="1331"/>
      <c r="D55" s="138"/>
      <c r="E55" s="142" t="s">
        <v>428</v>
      </c>
      <c r="F55" s="138"/>
      <c r="G55" s="318"/>
      <c r="H55" s="100"/>
    </row>
    <row r="56" spans="2:8" ht="15.6" x14ac:dyDescent="0.3">
      <c r="B56" s="1328"/>
      <c r="C56" s="1331"/>
      <c r="D56" s="138" t="s">
        <v>343</v>
      </c>
      <c r="E56" s="142"/>
      <c r="F56" s="138"/>
      <c r="G56" s="318"/>
      <c r="H56" s="100"/>
    </row>
    <row r="57" spans="2:8" ht="15.6" x14ac:dyDescent="0.3">
      <c r="B57" s="1328"/>
      <c r="C57" s="1331"/>
      <c r="D57" s="138"/>
      <c r="E57" s="142" t="s">
        <v>307</v>
      </c>
      <c r="F57" s="138"/>
      <c r="G57" s="318"/>
      <c r="H57" s="100"/>
    </row>
    <row r="58" spans="2:8" ht="15.6" x14ac:dyDescent="0.3">
      <c r="B58" s="1328"/>
      <c r="C58" s="1331"/>
      <c r="D58" s="138" t="s">
        <v>429</v>
      </c>
      <c r="E58" s="342"/>
      <c r="F58" s="138"/>
      <c r="G58" s="318"/>
      <c r="H58" s="100"/>
    </row>
    <row r="59" spans="2:8" ht="15.6" x14ac:dyDescent="0.3">
      <c r="B59" s="1328"/>
      <c r="C59" s="1331"/>
      <c r="D59" s="138"/>
      <c r="E59" s="142" t="s">
        <v>422</v>
      </c>
      <c r="F59" s="138" t="s">
        <v>426</v>
      </c>
      <c r="G59" s="318"/>
      <c r="H59" s="100"/>
    </row>
    <row r="60" spans="2:8" ht="15.6" x14ac:dyDescent="0.3">
      <c r="B60" s="1328"/>
      <c r="C60" s="1331"/>
      <c r="D60" s="138"/>
      <c r="E60" s="142" t="s">
        <v>424</v>
      </c>
      <c r="F60" s="138" t="s">
        <v>200</v>
      </c>
      <c r="G60" s="318"/>
      <c r="H60" s="100"/>
    </row>
    <row r="61" spans="2:8" ht="15.6" x14ac:dyDescent="0.3">
      <c r="B61" s="1328"/>
      <c r="C61" s="1331"/>
      <c r="D61" s="138"/>
      <c r="E61" s="142" t="s">
        <v>423</v>
      </c>
      <c r="F61" s="138" t="s">
        <v>427</v>
      </c>
      <c r="G61" s="318"/>
      <c r="H61" s="100"/>
    </row>
    <row r="62" spans="2:8" ht="15.6" x14ac:dyDescent="0.3">
      <c r="B62" s="1328"/>
      <c r="C62" s="1331"/>
      <c r="D62" s="138" t="s">
        <v>630</v>
      </c>
      <c r="E62" s="142"/>
      <c r="F62" s="138"/>
      <c r="G62" s="318"/>
      <c r="H62" s="100"/>
    </row>
    <row r="63" spans="2:8" ht="15.6" x14ac:dyDescent="0.3">
      <c r="B63" s="1132"/>
      <c r="C63" s="1332"/>
      <c r="D63" s="140"/>
      <c r="E63" s="143"/>
      <c r="F63" s="140"/>
      <c r="G63" s="319"/>
      <c r="H63" s="327"/>
    </row>
    <row r="64" spans="2:8" ht="15.6" x14ac:dyDescent="0.3">
      <c r="B64" s="1131">
        <v>5</v>
      </c>
      <c r="C64" s="1325" t="s">
        <v>419</v>
      </c>
      <c r="D64" s="136" t="s">
        <v>328</v>
      </c>
      <c r="E64" s="136"/>
      <c r="F64" s="137"/>
      <c r="G64" s="322"/>
      <c r="H64" s="326"/>
    </row>
    <row r="65" spans="2:8" ht="15.6" x14ac:dyDescent="0.3">
      <c r="B65" s="1328"/>
      <c r="C65" s="1326"/>
      <c r="D65" s="138"/>
      <c r="E65" s="138" t="s">
        <v>308</v>
      </c>
      <c r="F65" s="139" t="s">
        <v>305</v>
      </c>
      <c r="G65" s="318"/>
      <c r="H65" s="100"/>
    </row>
    <row r="66" spans="2:8" ht="15.6" x14ac:dyDescent="0.3">
      <c r="B66" s="1328"/>
      <c r="C66" s="1326"/>
      <c r="D66" s="138"/>
      <c r="E66" s="138"/>
      <c r="F66" s="139" t="s">
        <v>310</v>
      </c>
      <c r="G66" s="318"/>
      <c r="H66" s="100"/>
    </row>
    <row r="67" spans="2:8" ht="15.6" x14ac:dyDescent="0.3">
      <c r="B67" s="1328"/>
      <c r="C67" s="1326"/>
      <c r="D67" s="138"/>
      <c r="E67" s="138" t="s">
        <v>309</v>
      </c>
      <c r="F67" s="144" t="s">
        <v>311</v>
      </c>
      <c r="G67" s="318"/>
      <c r="H67" s="100"/>
    </row>
    <row r="68" spans="2:8" ht="15.6" x14ac:dyDescent="0.3">
      <c r="B68" s="1328"/>
      <c r="C68" s="1326"/>
      <c r="D68" s="138"/>
      <c r="E68" s="138"/>
      <c r="F68" s="139" t="s">
        <v>260</v>
      </c>
      <c r="G68" s="318"/>
      <c r="H68" s="100"/>
    </row>
    <row r="69" spans="2:8" ht="15.6" x14ac:dyDescent="0.3">
      <c r="B69" s="1328"/>
      <c r="C69" s="1326"/>
      <c r="D69" s="138"/>
      <c r="E69" s="138" t="s">
        <v>334</v>
      </c>
      <c r="F69" s="139"/>
      <c r="G69" s="318"/>
      <c r="H69" s="100"/>
    </row>
    <row r="70" spans="2:8" ht="15.6" x14ac:dyDescent="0.3">
      <c r="B70" s="1328"/>
      <c r="C70" s="1326"/>
      <c r="D70" s="138" t="s">
        <v>417</v>
      </c>
      <c r="E70" s="138"/>
      <c r="F70" s="139"/>
      <c r="G70" s="318"/>
      <c r="H70" s="100"/>
    </row>
    <row r="71" spans="2:8" ht="15.6" x14ac:dyDescent="0.3">
      <c r="B71" s="1328"/>
      <c r="C71" s="1326"/>
      <c r="D71" s="138"/>
      <c r="E71" s="138" t="s">
        <v>291</v>
      </c>
      <c r="F71" s="139"/>
      <c r="G71" s="318"/>
      <c r="H71" s="100"/>
    </row>
    <row r="72" spans="2:8" ht="15.6" x14ac:dyDescent="0.3">
      <c r="B72" s="1328"/>
      <c r="C72" s="1326"/>
      <c r="D72" s="138" t="s">
        <v>392</v>
      </c>
      <c r="E72" s="138"/>
      <c r="F72" s="139"/>
      <c r="G72" s="318"/>
      <c r="H72" s="100"/>
    </row>
    <row r="73" spans="2:8" ht="15.6" x14ac:dyDescent="0.3">
      <c r="B73" s="1328"/>
      <c r="C73" s="1326"/>
      <c r="D73" s="138"/>
      <c r="E73" s="138" t="s">
        <v>393</v>
      </c>
      <c r="F73" s="139" t="s">
        <v>390</v>
      </c>
      <c r="G73" s="318"/>
      <c r="H73" s="100"/>
    </row>
    <row r="74" spans="2:8" ht="15.6" x14ac:dyDescent="0.3">
      <c r="B74" s="1328"/>
      <c r="C74" s="1326"/>
      <c r="D74" s="138"/>
      <c r="E74" s="138" t="s">
        <v>394</v>
      </c>
      <c r="F74" s="139" t="s">
        <v>395</v>
      </c>
      <c r="G74" s="318"/>
      <c r="H74" s="100"/>
    </row>
    <row r="75" spans="2:8" ht="15.6" x14ac:dyDescent="0.3">
      <c r="B75" s="1328"/>
      <c r="C75" s="1326"/>
      <c r="D75" s="138" t="s">
        <v>425</v>
      </c>
      <c r="E75" s="138"/>
      <c r="F75" s="139"/>
      <c r="G75" s="318"/>
      <c r="H75" s="100"/>
    </row>
    <row r="76" spans="2:8" ht="15.6" x14ac:dyDescent="0.3">
      <c r="B76" s="1328"/>
      <c r="C76" s="1326"/>
      <c r="D76" s="138"/>
      <c r="E76" s="138" t="s">
        <v>420</v>
      </c>
      <c r="F76" s="139"/>
      <c r="G76" s="318"/>
      <c r="H76" s="100"/>
    </row>
    <row r="77" spans="2:8" ht="15.6" x14ac:dyDescent="0.3">
      <c r="B77" s="1328"/>
      <c r="C77" s="1326"/>
      <c r="D77" s="138"/>
      <c r="E77" s="145"/>
      <c r="F77" s="139" t="s">
        <v>333</v>
      </c>
      <c r="G77" s="318"/>
      <c r="H77" s="100"/>
    </row>
    <row r="78" spans="2:8" ht="15.6" x14ac:dyDescent="0.3">
      <c r="B78" s="1328"/>
      <c r="C78" s="1326"/>
      <c r="D78" s="138"/>
      <c r="E78" s="145"/>
      <c r="F78" s="139" t="s">
        <v>432</v>
      </c>
      <c r="G78" s="318"/>
      <c r="H78" s="100"/>
    </row>
    <row r="79" spans="2:8" ht="15.6" x14ac:dyDescent="0.3">
      <c r="B79" s="1328"/>
      <c r="C79" s="1326"/>
      <c r="D79" s="138"/>
      <c r="E79" s="138" t="s">
        <v>421</v>
      </c>
      <c r="F79" s="139"/>
      <c r="G79" s="318"/>
      <c r="H79" s="100"/>
    </row>
    <row r="80" spans="2:8" ht="15.6" x14ac:dyDescent="0.3">
      <c r="B80" s="1328"/>
      <c r="C80" s="1326"/>
      <c r="D80" s="138"/>
      <c r="E80" s="138"/>
      <c r="F80" s="139"/>
      <c r="G80" s="318"/>
      <c r="H80" s="100"/>
    </row>
    <row r="81" spans="2:8" ht="15.6" x14ac:dyDescent="0.3">
      <c r="B81" s="1328"/>
      <c r="C81" s="1326"/>
      <c r="D81" s="138"/>
      <c r="E81" s="138"/>
      <c r="F81" s="139"/>
      <c r="G81" s="318"/>
      <c r="H81" s="100"/>
    </row>
    <row r="82" spans="2:8" ht="15.6" x14ac:dyDescent="0.3">
      <c r="B82" s="1328"/>
      <c r="C82" s="1326"/>
      <c r="D82" s="138"/>
      <c r="E82" s="138"/>
      <c r="F82" s="139"/>
      <c r="G82" s="318"/>
      <c r="H82" s="100"/>
    </row>
    <row r="83" spans="2:8" ht="15.6" x14ac:dyDescent="0.3">
      <c r="B83" s="1132"/>
      <c r="C83" s="1327"/>
      <c r="D83" s="140"/>
      <c r="E83" s="140"/>
      <c r="F83" s="146"/>
      <c r="G83" s="319"/>
      <c r="H83" s="327"/>
    </row>
    <row r="84" spans="2:8" ht="15.6" x14ac:dyDescent="0.3">
      <c r="B84" s="1131">
        <v>6</v>
      </c>
      <c r="C84" s="1329" t="s">
        <v>430</v>
      </c>
      <c r="D84" s="136" t="s">
        <v>326</v>
      </c>
      <c r="E84" s="136"/>
      <c r="F84" s="137"/>
      <c r="G84" s="322"/>
      <c r="H84" s="326"/>
    </row>
    <row r="85" spans="2:8" ht="15.6" x14ac:dyDescent="0.3">
      <c r="B85" s="1328"/>
      <c r="C85" s="1323"/>
      <c r="D85" s="138"/>
      <c r="E85" s="138" t="s">
        <v>320</v>
      </c>
      <c r="F85" s="139" t="s">
        <v>321</v>
      </c>
      <c r="G85" s="318"/>
      <c r="H85" s="100"/>
    </row>
    <row r="86" spans="2:8" ht="15.6" x14ac:dyDescent="0.3">
      <c r="B86" s="1328"/>
      <c r="C86" s="1323"/>
      <c r="D86" s="138"/>
      <c r="E86" s="138"/>
      <c r="F86" s="139" t="s">
        <v>325</v>
      </c>
      <c r="G86" s="318"/>
      <c r="H86" s="100"/>
    </row>
    <row r="87" spans="2:8" ht="15.6" x14ac:dyDescent="0.3">
      <c r="B87" s="1328"/>
      <c r="C87" s="1323"/>
      <c r="D87" s="138" t="s">
        <v>327</v>
      </c>
      <c r="E87" s="138"/>
      <c r="F87" s="139"/>
      <c r="G87" s="318"/>
      <c r="H87" s="100"/>
    </row>
    <row r="88" spans="2:8" ht="15.6" x14ac:dyDescent="0.3">
      <c r="B88" s="1328"/>
      <c r="C88" s="1323"/>
      <c r="D88" s="138"/>
      <c r="E88" s="138" t="s">
        <v>322</v>
      </c>
      <c r="F88" s="139"/>
      <c r="G88" s="318"/>
      <c r="H88" s="100"/>
    </row>
    <row r="89" spans="2:8" ht="15.6" x14ac:dyDescent="0.3">
      <c r="B89" s="1328"/>
      <c r="C89" s="1323"/>
      <c r="D89" s="138"/>
      <c r="E89" s="138" t="s">
        <v>329</v>
      </c>
      <c r="F89" s="139"/>
      <c r="G89" s="318"/>
      <c r="H89" s="100"/>
    </row>
    <row r="90" spans="2:8" ht="15.6" x14ac:dyDescent="0.3">
      <c r="B90" s="1328"/>
      <c r="C90" s="1323"/>
      <c r="D90" s="138"/>
      <c r="E90" s="138" t="s">
        <v>388</v>
      </c>
      <c r="F90" s="139"/>
      <c r="G90" s="318"/>
      <c r="H90" s="100"/>
    </row>
    <row r="91" spans="2:8" ht="15.6" x14ac:dyDescent="0.3">
      <c r="B91" s="1328"/>
      <c r="C91" s="1323"/>
      <c r="D91" s="138"/>
      <c r="E91" s="138"/>
      <c r="F91" s="139" t="s">
        <v>431</v>
      </c>
      <c r="G91" s="318"/>
      <c r="H91" s="100"/>
    </row>
    <row r="92" spans="2:8" ht="15.6" x14ac:dyDescent="0.3">
      <c r="B92" s="1328"/>
      <c r="C92" s="1323"/>
      <c r="D92" s="138" t="s">
        <v>360</v>
      </c>
      <c r="E92" s="138"/>
      <c r="F92" s="139"/>
      <c r="G92" s="318"/>
      <c r="H92" s="100"/>
    </row>
    <row r="93" spans="2:8" ht="15.6" x14ac:dyDescent="0.3">
      <c r="B93" s="1328"/>
      <c r="C93" s="1323"/>
      <c r="D93" s="138"/>
      <c r="E93" s="138" t="s">
        <v>361</v>
      </c>
      <c r="F93" s="139" t="s">
        <v>365</v>
      </c>
      <c r="G93" s="318"/>
      <c r="H93" s="100"/>
    </row>
    <row r="94" spans="2:8" ht="15.6" x14ac:dyDescent="0.3">
      <c r="B94" s="1328"/>
      <c r="C94" s="1323"/>
      <c r="D94" s="138"/>
      <c r="E94" s="138"/>
      <c r="F94" s="139" t="s">
        <v>366</v>
      </c>
      <c r="G94" s="318"/>
      <c r="H94" s="100"/>
    </row>
    <row r="95" spans="2:8" ht="15.6" x14ac:dyDescent="0.3">
      <c r="B95" s="1328"/>
      <c r="C95" s="1323"/>
      <c r="D95" s="138" t="s">
        <v>367</v>
      </c>
      <c r="E95" s="138"/>
      <c r="F95" s="139"/>
      <c r="G95" s="318"/>
      <c r="H95" s="100"/>
    </row>
    <row r="96" spans="2:8" ht="15.6" x14ac:dyDescent="0.3">
      <c r="B96" s="1328"/>
      <c r="C96" s="1323"/>
      <c r="D96" s="138"/>
      <c r="E96" s="138" t="s">
        <v>368</v>
      </c>
      <c r="F96" s="139" t="s">
        <v>370</v>
      </c>
      <c r="G96" s="318"/>
      <c r="H96" s="100"/>
    </row>
    <row r="97" spans="2:8" ht="15.6" x14ac:dyDescent="0.3">
      <c r="B97" s="1328"/>
      <c r="C97" s="1323"/>
      <c r="D97" s="138"/>
      <c r="E97" s="138" t="s">
        <v>369</v>
      </c>
      <c r="F97" s="139" t="s">
        <v>371</v>
      </c>
      <c r="G97" s="318"/>
      <c r="H97" s="100"/>
    </row>
    <row r="98" spans="2:8" ht="15.6" x14ac:dyDescent="0.3">
      <c r="B98" s="1328"/>
      <c r="C98" s="1323"/>
      <c r="D98" s="138"/>
      <c r="E98" s="138"/>
      <c r="F98" s="139" t="s">
        <v>372</v>
      </c>
      <c r="G98" s="318"/>
      <c r="H98" s="100"/>
    </row>
    <row r="99" spans="2:8" ht="15.6" x14ac:dyDescent="0.3">
      <c r="B99" s="1132"/>
      <c r="C99" s="1324"/>
      <c r="D99" s="140"/>
      <c r="E99" s="140" t="s">
        <v>373</v>
      </c>
      <c r="F99" s="146"/>
      <c r="G99" s="319"/>
      <c r="H99" s="327"/>
    </row>
    <row r="100" spans="2:8" ht="15.6" x14ac:dyDescent="0.3">
      <c r="B100" s="1080">
        <v>7</v>
      </c>
      <c r="C100" s="1323" t="s">
        <v>414</v>
      </c>
      <c r="D100" s="138"/>
      <c r="E100" s="138"/>
      <c r="F100" s="139"/>
      <c r="G100" s="318"/>
      <c r="H100" s="100"/>
    </row>
    <row r="101" spans="2:8" ht="15.6" x14ac:dyDescent="0.3">
      <c r="B101" s="1301"/>
      <c r="C101" s="1323"/>
      <c r="D101" s="138" t="s">
        <v>376</v>
      </c>
      <c r="E101" s="147" t="s">
        <v>377</v>
      </c>
      <c r="F101" s="139"/>
      <c r="G101" s="318"/>
      <c r="H101" s="100"/>
    </row>
    <row r="102" spans="2:8" ht="15.6" x14ac:dyDescent="0.3">
      <c r="B102" s="1301"/>
      <c r="C102" s="1323"/>
      <c r="D102" s="138"/>
      <c r="E102" s="138" t="s">
        <v>396</v>
      </c>
      <c r="F102" s="139" t="s">
        <v>380</v>
      </c>
      <c r="G102" s="318"/>
      <c r="H102" s="100"/>
    </row>
    <row r="103" spans="2:8" ht="15.6" x14ac:dyDescent="0.3">
      <c r="B103" s="1301"/>
      <c r="C103" s="1323"/>
      <c r="D103" s="138" t="s">
        <v>381</v>
      </c>
      <c r="E103" s="138"/>
      <c r="F103" s="139"/>
      <c r="G103" s="318"/>
      <c r="H103" s="100"/>
    </row>
    <row r="104" spans="2:8" ht="15.6" x14ac:dyDescent="0.3">
      <c r="B104" s="1301"/>
      <c r="C104" s="1323"/>
      <c r="D104" s="138"/>
      <c r="E104" s="147" t="s">
        <v>378</v>
      </c>
      <c r="F104" s="139" t="s">
        <v>415</v>
      </c>
      <c r="G104" s="318"/>
      <c r="H104" s="100"/>
    </row>
    <row r="105" spans="2:8" ht="15.6" x14ac:dyDescent="0.3">
      <c r="B105" s="1301"/>
      <c r="C105" s="1323"/>
      <c r="D105" s="138"/>
      <c r="E105" s="138" t="s">
        <v>382</v>
      </c>
      <c r="F105" s="139" t="s">
        <v>416</v>
      </c>
      <c r="G105" s="318"/>
      <c r="H105" s="100"/>
    </row>
    <row r="106" spans="2:8" ht="15.6" x14ac:dyDescent="0.3">
      <c r="B106" s="1301"/>
      <c r="C106" s="1323"/>
      <c r="D106" s="138"/>
      <c r="E106" s="138" t="s">
        <v>364</v>
      </c>
      <c r="F106" s="139"/>
      <c r="G106" s="318"/>
      <c r="H106" s="100"/>
    </row>
    <row r="107" spans="2:8" ht="15.6" x14ac:dyDescent="0.3">
      <c r="B107" s="1301"/>
      <c r="C107" s="1323"/>
      <c r="D107" s="138" t="s">
        <v>379</v>
      </c>
      <c r="E107" s="138"/>
      <c r="F107" s="139"/>
      <c r="G107" s="318"/>
      <c r="H107" s="100"/>
    </row>
    <row r="108" spans="2:8" ht="15.6" x14ac:dyDescent="0.3">
      <c r="B108" s="1301"/>
      <c r="C108" s="1323"/>
      <c r="D108" s="138"/>
      <c r="E108" s="138" t="s">
        <v>386</v>
      </c>
      <c r="F108" s="139"/>
      <c r="G108" s="318"/>
      <c r="H108" s="100"/>
    </row>
    <row r="109" spans="2:8" ht="15.6" x14ac:dyDescent="0.3">
      <c r="B109" s="1301"/>
      <c r="C109" s="1323"/>
      <c r="D109" s="138"/>
      <c r="E109" s="138" t="s">
        <v>398</v>
      </c>
      <c r="F109" s="139"/>
      <c r="G109" s="318"/>
      <c r="H109" s="100"/>
    </row>
    <row r="110" spans="2:8" ht="15.6" x14ac:dyDescent="0.3">
      <c r="B110" s="1301"/>
      <c r="C110" s="1323"/>
      <c r="D110" s="138" t="s">
        <v>384</v>
      </c>
      <c r="E110" s="145"/>
      <c r="F110" s="139"/>
      <c r="G110" s="318"/>
      <c r="H110" s="100"/>
    </row>
    <row r="111" spans="2:8" ht="15.6" x14ac:dyDescent="0.3">
      <c r="B111" s="1301"/>
      <c r="C111" s="1323"/>
      <c r="D111" s="138"/>
      <c r="E111" s="138" t="s">
        <v>383</v>
      </c>
      <c r="F111" s="139"/>
      <c r="G111" s="318"/>
      <c r="H111" s="100"/>
    </row>
    <row r="112" spans="2:8" ht="15.6" x14ac:dyDescent="0.3">
      <c r="B112" s="1301"/>
      <c r="C112" s="1323"/>
      <c r="D112" s="138"/>
      <c r="E112" s="138" t="s">
        <v>385</v>
      </c>
      <c r="F112" s="139"/>
      <c r="G112" s="318"/>
      <c r="H112" s="100"/>
    </row>
    <row r="113" spans="2:8" ht="15.6" x14ac:dyDescent="0.3">
      <c r="B113" s="1083"/>
      <c r="C113" s="1324"/>
      <c r="D113" s="140"/>
      <c r="E113" s="140" t="s">
        <v>387</v>
      </c>
      <c r="F113" s="146"/>
      <c r="G113" s="319"/>
      <c r="H113" s="327"/>
    </row>
    <row r="117" spans="2:8" x14ac:dyDescent="0.3">
      <c r="C117" t="s">
        <v>312</v>
      </c>
      <c r="D117" t="s">
        <v>463</v>
      </c>
      <c r="E117" s="251" t="s">
        <v>476</v>
      </c>
      <c r="F117" s="339" t="s">
        <v>315</v>
      </c>
      <c r="G117" s="249" t="s">
        <v>636</v>
      </c>
      <c r="H117" s="249" t="s">
        <v>637</v>
      </c>
    </row>
    <row r="118" spans="2:8" x14ac:dyDescent="0.3">
      <c r="C118" s="249" t="str">
        <f>+C6</f>
        <v>Oxidant Stream</v>
      </c>
      <c r="D118" s="249" t="s">
        <v>486</v>
      </c>
      <c r="E118" s="167" t="s">
        <v>477</v>
      </c>
      <c r="F118" s="325">
        <v>1995</v>
      </c>
      <c r="G118" s="249">
        <v>1</v>
      </c>
      <c r="H118" s="249">
        <v>1</v>
      </c>
    </row>
    <row r="119" spans="2:8" x14ac:dyDescent="0.3">
      <c r="C119" s="249" t="str">
        <f>+C13</f>
        <v>Primary Conversion</v>
      </c>
      <c r="D119" s="252" t="s">
        <v>455</v>
      </c>
      <c r="E119" s="167" t="s">
        <v>478</v>
      </c>
      <c r="F119" s="116">
        <v>1996</v>
      </c>
      <c r="G119" s="249">
        <v>2</v>
      </c>
      <c r="H119" s="249">
        <v>2</v>
      </c>
    </row>
    <row r="120" spans="2:8" x14ac:dyDescent="0.3">
      <c r="C120" s="249" t="str">
        <f>+C28</f>
        <v>Power Generation</v>
      </c>
      <c r="D120" s="249"/>
      <c r="E120" s="167" t="s">
        <v>479</v>
      </c>
      <c r="F120" s="116">
        <v>1997</v>
      </c>
      <c r="G120" s="249">
        <v>3</v>
      </c>
      <c r="H120" s="249">
        <v>3</v>
      </c>
    </row>
    <row r="121" spans="2:8" x14ac:dyDescent="0.3">
      <c r="C121" s="249" t="str">
        <f>+C64</f>
        <v>Secondary Conversion</v>
      </c>
      <c r="D121" s="249"/>
      <c r="E121" s="167" t="s">
        <v>480</v>
      </c>
      <c r="F121" s="116">
        <v>1998</v>
      </c>
      <c r="G121" s="249">
        <v>4</v>
      </c>
      <c r="H121" s="249">
        <v>4</v>
      </c>
    </row>
    <row r="122" spans="2:8" x14ac:dyDescent="0.3">
      <c r="C122" s="249" t="str">
        <f>+C84</f>
        <v>Contaminant Removal</v>
      </c>
      <c r="D122" s="249"/>
      <c r="E122" s="167" t="s">
        <v>481</v>
      </c>
      <c r="F122" s="116">
        <v>1999</v>
      </c>
      <c r="G122" s="249"/>
      <c r="H122" s="249">
        <v>5</v>
      </c>
    </row>
    <row r="123" spans="2:8" x14ac:dyDescent="0.3">
      <c r="C123" s="249" t="str">
        <f>+C100</f>
        <v>Energy Storage</v>
      </c>
      <c r="D123" s="249"/>
      <c r="E123" s="167" t="s">
        <v>487</v>
      </c>
      <c r="F123" s="116">
        <v>2000</v>
      </c>
      <c r="G123" s="249"/>
      <c r="H123" s="249">
        <v>6</v>
      </c>
    </row>
    <row r="124" spans="2:8" x14ac:dyDescent="0.3">
      <c r="C124" s="249" t="s">
        <v>434</v>
      </c>
      <c r="D124" s="249"/>
      <c r="E124" s="167" t="s">
        <v>599</v>
      </c>
      <c r="F124" s="116">
        <v>2001</v>
      </c>
      <c r="G124" s="249"/>
      <c r="H124" s="249">
        <v>7</v>
      </c>
    </row>
    <row r="125" spans="2:8" x14ac:dyDescent="0.3">
      <c r="C125" s="249"/>
      <c r="D125" s="249"/>
      <c r="E125" s="167" t="s">
        <v>482</v>
      </c>
      <c r="F125" s="116">
        <v>2002</v>
      </c>
      <c r="G125" s="249"/>
      <c r="H125" s="249">
        <v>8</v>
      </c>
    </row>
    <row r="126" spans="2:8" x14ac:dyDescent="0.3">
      <c r="C126" s="249"/>
      <c r="D126" s="249"/>
      <c r="E126" s="167" t="s">
        <v>601</v>
      </c>
      <c r="F126" s="116">
        <v>2003</v>
      </c>
      <c r="G126" s="249"/>
      <c r="H126" s="249">
        <v>9</v>
      </c>
    </row>
    <row r="127" spans="2:8" x14ac:dyDescent="0.3">
      <c r="C127" s="249"/>
      <c r="D127" s="249"/>
      <c r="E127" s="167" t="s">
        <v>483</v>
      </c>
      <c r="F127" s="116">
        <v>2004</v>
      </c>
      <c r="G127" s="249"/>
      <c r="H127" s="249">
        <v>10</v>
      </c>
    </row>
    <row r="128" spans="2:8" x14ac:dyDescent="0.3">
      <c r="E128" s="334" t="s">
        <v>600</v>
      </c>
      <c r="F128" s="116">
        <v>2005</v>
      </c>
      <c r="G128" s="249"/>
      <c r="H128" s="249">
        <v>11</v>
      </c>
    </row>
    <row r="129" spans="5:8" x14ac:dyDescent="0.3">
      <c r="E129" s="334" t="s">
        <v>624</v>
      </c>
      <c r="F129" s="116">
        <v>2006</v>
      </c>
      <c r="G129" s="249"/>
      <c r="H129" s="249">
        <v>12</v>
      </c>
    </row>
    <row r="130" spans="5:8" x14ac:dyDescent="0.3">
      <c r="E130" s="334" t="s">
        <v>596</v>
      </c>
      <c r="F130" s="116">
        <v>2007</v>
      </c>
      <c r="G130" s="249"/>
      <c r="H130" s="249">
        <v>13</v>
      </c>
    </row>
    <row r="131" spans="5:8" x14ac:dyDescent="0.3">
      <c r="E131" s="334" t="s">
        <v>597</v>
      </c>
      <c r="F131" s="116">
        <v>2008</v>
      </c>
      <c r="G131" s="249"/>
      <c r="H131" s="249">
        <v>14</v>
      </c>
    </row>
    <row r="132" spans="5:8" x14ac:dyDescent="0.3">
      <c r="E132" s="334" t="s">
        <v>598</v>
      </c>
      <c r="F132" s="116">
        <v>2009</v>
      </c>
      <c r="G132" s="249"/>
      <c r="H132" s="249">
        <v>15</v>
      </c>
    </row>
    <row r="133" spans="5:8" x14ac:dyDescent="0.3">
      <c r="F133" s="116">
        <v>2010</v>
      </c>
      <c r="G133" s="249"/>
      <c r="H133" s="249">
        <v>16</v>
      </c>
    </row>
    <row r="134" spans="5:8" x14ac:dyDescent="0.3">
      <c r="F134" s="116">
        <v>2011</v>
      </c>
      <c r="G134" s="249"/>
      <c r="H134" s="249">
        <v>17</v>
      </c>
    </row>
    <row r="135" spans="5:8" x14ac:dyDescent="0.3">
      <c r="F135" s="116">
        <v>2012</v>
      </c>
      <c r="G135" s="249"/>
      <c r="H135" s="249">
        <v>18</v>
      </c>
    </row>
    <row r="136" spans="5:8" x14ac:dyDescent="0.3">
      <c r="F136" s="116">
        <v>2013</v>
      </c>
      <c r="G136" s="249"/>
      <c r="H136" s="249">
        <v>19</v>
      </c>
    </row>
    <row r="137" spans="5:8" x14ac:dyDescent="0.3">
      <c r="F137" s="116">
        <v>2014</v>
      </c>
      <c r="G137" s="249"/>
      <c r="H137" s="249">
        <v>20</v>
      </c>
    </row>
    <row r="138" spans="5:8" x14ac:dyDescent="0.3">
      <c r="F138" s="116">
        <v>2015</v>
      </c>
      <c r="G138" s="249"/>
      <c r="H138" s="249">
        <v>21</v>
      </c>
    </row>
    <row r="139" spans="5:8" x14ac:dyDescent="0.3">
      <c r="F139" s="116">
        <v>2016</v>
      </c>
      <c r="G139" s="249"/>
      <c r="H139" s="249">
        <v>22</v>
      </c>
    </row>
    <row r="140" spans="5:8" x14ac:dyDescent="0.3">
      <c r="F140" s="116">
        <v>2017</v>
      </c>
      <c r="G140" s="249"/>
      <c r="H140" s="249">
        <v>23</v>
      </c>
    </row>
    <row r="141" spans="5:8" x14ac:dyDescent="0.3">
      <c r="F141" s="116">
        <v>2018</v>
      </c>
      <c r="G141" s="249"/>
      <c r="H141" s="249">
        <v>24</v>
      </c>
    </row>
    <row r="142" spans="5:8" x14ac:dyDescent="0.3">
      <c r="F142" s="116">
        <v>2019</v>
      </c>
      <c r="G142" s="249"/>
      <c r="H142" s="249">
        <v>25</v>
      </c>
    </row>
    <row r="143" spans="5:8" x14ac:dyDescent="0.3">
      <c r="F143" s="116">
        <v>2020</v>
      </c>
      <c r="G143" s="249"/>
      <c r="H143" s="249">
        <v>26</v>
      </c>
    </row>
    <row r="144" spans="5:8" x14ac:dyDescent="0.3">
      <c r="F144" s="116">
        <v>2021</v>
      </c>
      <c r="G144" s="249"/>
      <c r="H144" s="249">
        <v>27</v>
      </c>
    </row>
    <row r="145" spans="6:8" x14ac:dyDescent="0.3">
      <c r="F145" s="116">
        <v>2022</v>
      </c>
      <c r="G145" s="249"/>
      <c r="H145" s="249">
        <v>28</v>
      </c>
    </row>
    <row r="146" spans="6:8" x14ac:dyDescent="0.3">
      <c r="F146" s="116">
        <v>2023</v>
      </c>
      <c r="G146" s="249"/>
      <c r="H146" s="249">
        <v>29</v>
      </c>
    </row>
    <row r="147" spans="6:8" x14ac:dyDescent="0.3">
      <c r="F147" s="116">
        <v>2024</v>
      </c>
      <c r="G147" s="249"/>
      <c r="H147" s="249">
        <v>30</v>
      </c>
    </row>
    <row r="148" spans="6:8" x14ac:dyDescent="0.3">
      <c r="F148" s="116">
        <v>2025</v>
      </c>
      <c r="G148" s="249"/>
      <c r="H148" s="249">
        <v>31</v>
      </c>
    </row>
    <row r="149" spans="6:8" x14ac:dyDescent="0.3">
      <c r="F149" s="116">
        <v>2026</v>
      </c>
      <c r="G149" s="249"/>
      <c r="H149" s="249">
        <v>32</v>
      </c>
    </row>
    <row r="150" spans="6:8" x14ac:dyDescent="0.3">
      <c r="F150" s="116">
        <v>2027</v>
      </c>
      <c r="G150" s="249"/>
      <c r="H150" s="249">
        <v>33</v>
      </c>
    </row>
    <row r="151" spans="6:8" x14ac:dyDescent="0.3">
      <c r="F151" s="116">
        <v>2028</v>
      </c>
      <c r="G151" s="249"/>
      <c r="H151" s="249">
        <v>34</v>
      </c>
    </row>
    <row r="152" spans="6:8" x14ac:dyDescent="0.3">
      <c r="F152" s="116">
        <v>2029</v>
      </c>
      <c r="G152" s="249"/>
      <c r="H152" s="249">
        <v>35</v>
      </c>
    </row>
    <row r="153" spans="6:8" x14ac:dyDescent="0.3">
      <c r="F153" s="116">
        <v>2030</v>
      </c>
      <c r="G153" s="249"/>
      <c r="H153" s="249">
        <v>36</v>
      </c>
    </row>
    <row r="154" spans="6:8" x14ac:dyDescent="0.3">
      <c r="F154" s="116">
        <v>2031</v>
      </c>
      <c r="G154" s="249"/>
      <c r="H154" s="249">
        <v>37</v>
      </c>
    </row>
    <row r="155" spans="6:8" x14ac:dyDescent="0.3">
      <c r="F155" s="116">
        <v>2032</v>
      </c>
      <c r="G155" s="249"/>
      <c r="H155" s="249">
        <v>38</v>
      </c>
    </row>
    <row r="156" spans="6:8" x14ac:dyDescent="0.3">
      <c r="F156" s="116">
        <v>2033</v>
      </c>
      <c r="G156" s="249"/>
      <c r="H156" s="249">
        <v>39</v>
      </c>
    </row>
    <row r="157" spans="6:8" x14ac:dyDescent="0.3">
      <c r="F157" s="116">
        <v>2034</v>
      </c>
      <c r="G157" s="249"/>
      <c r="H157" s="249">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535</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89" t="s">
        <v>652</v>
      </c>
      <c r="C2" s="1287"/>
      <c r="D2" s="1288"/>
      <c r="E2" s="1288"/>
      <c r="F2" s="1288"/>
      <c r="G2" s="1288"/>
      <c r="H2" s="1288"/>
      <c r="I2" s="1288"/>
      <c r="J2" s="1288"/>
      <c r="K2" s="1288"/>
      <c r="L2" s="1288"/>
      <c r="M2" s="1288"/>
      <c r="N2" s="1288"/>
      <c r="O2" s="1288"/>
      <c r="P2" s="1288"/>
      <c r="Q2" s="1288"/>
      <c r="R2" s="1288"/>
      <c r="S2" s="1288"/>
      <c r="T2" s="1288"/>
      <c r="U2" s="1289"/>
    </row>
    <row r="3" spans="2:21" ht="18" x14ac:dyDescent="0.3">
      <c r="B3" s="1102" t="s">
        <v>641</v>
      </c>
      <c r="C3" s="1103"/>
      <c r="D3" s="1103"/>
      <c r="E3" s="1103"/>
      <c r="F3" s="1103"/>
      <c r="G3" s="1103"/>
      <c r="H3" s="1103"/>
      <c r="I3" s="1104"/>
      <c r="J3" s="1102" t="s">
        <v>642</v>
      </c>
      <c r="K3" s="1103"/>
      <c r="L3" s="1103"/>
      <c r="M3" s="1103"/>
      <c r="N3" s="1103"/>
      <c r="O3" s="1103"/>
      <c r="P3" s="1103"/>
      <c r="Q3" s="1103"/>
      <c r="R3" s="1104"/>
      <c r="S3" s="1102" t="s">
        <v>643</v>
      </c>
      <c r="T3" s="1103"/>
      <c r="U3" s="1104"/>
    </row>
    <row r="4" spans="2:21" ht="18" x14ac:dyDescent="0.3">
      <c r="B4" s="88" t="s">
        <v>356</v>
      </c>
      <c r="C4" s="88" t="s">
        <v>645</v>
      </c>
      <c r="D4" s="88" t="s">
        <v>497</v>
      </c>
      <c r="E4" s="89" t="s">
        <v>463</v>
      </c>
      <c r="F4" s="89" t="s">
        <v>315</v>
      </c>
      <c r="G4" s="89" t="s">
        <v>508</v>
      </c>
      <c r="H4" s="88" t="s">
        <v>505</v>
      </c>
      <c r="I4" s="388" t="s">
        <v>235</v>
      </c>
      <c r="J4" s="262" t="s">
        <v>465</v>
      </c>
      <c r="K4" s="262" t="s">
        <v>466</v>
      </c>
      <c r="L4" s="261" t="s">
        <v>585</v>
      </c>
      <c r="M4" s="263" t="s">
        <v>468</v>
      </c>
      <c r="N4" s="264" t="s">
        <v>467</v>
      </c>
      <c r="O4" s="263" t="s">
        <v>649</v>
      </c>
      <c r="P4" s="263" t="s">
        <v>650</v>
      </c>
      <c r="Q4" s="263" t="s">
        <v>464</v>
      </c>
      <c r="R4" s="90" t="s">
        <v>638</v>
      </c>
      <c r="S4" s="394" t="s">
        <v>646</v>
      </c>
      <c r="T4" s="1333" t="s">
        <v>644</v>
      </c>
      <c r="U4" s="1212"/>
    </row>
    <row r="5" spans="2:21" x14ac:dyDescent="0.3">
      <c r="B5" s="377"/>
      <c r="C5" s="378"/>
      <c r="D5" s="378"/>
      <c r="E5" s="378"/>
      <c r="F5" s="378"/>
      <c r="G5" s="378"/>
      <c r="H5" s="378"/>
      <c r="I5" s="378"/>
      <c r="J5" s="377"/>
      <c r="K5" s="378"/>
      <c r="L5" s="378"/>
      <c r="M5" s="219"/>
      <c r="N5" s="219"/>
      <c r="O5" s="219"/>
      <c r="P5" s="219"/>
      <c r="Q5" s="378"/>
      <c r="R5" s="196" t="str" cm="1">
        <f t="array" aca="1" ref="R5" ca="1">+IF(N5&gt;0,N5*INDIRECT(ADDRESS(MATCH(F5,'Cost Conversion'!$B$3:$B$48,0)+2,4,1,1,"Cost conversion"))*INDIRECT(ADDRESS(MATCH(G5,'Cost Conversion'!$F$3:$F$22,0)+2,8,1,1,"Cost conversion"))/IF(E5="$",'Cost Conversion'!$L$2,1),"")</f>
        <v/>
      </c>
      <c r="S5" s="412"/>
      <c r="T5" s="330"/>
      <c r="U5" s="125"/>
    </row>
    <row r="6" spans="2:21" x14ac:dyDescent="0.3">
      <c r="B6" s="437"/>
      <c r="C6" s="438"/>
      <c r="D6" s="438"/>
      <c r="E6" s="438"/>
      <c r="F6" s="438"/>
      <c r="G6" s="438"/>
      <c r="H6" s="438"/>
      <c r="I6" s="438"/>
      <c r="J6" s="437"/>
      <c r="K6" s="438"/>
      <c r="L6" s="438"/>
      <c r="M6" s="392"/>
      <c r="N6" s="392"/>
      <c r="O6" s="438"/>
      <c r="P6" s="438"/>
      <c r="Q6" s="438"/>
      <c r="R6" s="196" t="str" cm="1">
        <f t="array" aca="1" ref="R6" ca="1">+IF(N6&gt;0,N6*INDIRECT(ADDRESS(MATCH(F6,'Cost Conversion'!$B$3:$B$48,0)+2,4,1,1,"Cost conversion"))*INDIRECT(ADDRESS(MATCH(G6,'Cost Conversion'!$F$3:$F$22,0)+2,8,1,1,"Cost conversion"))/IF(E6="$",'Cost Conversion'!$L$2,1),"")</f>
        <v/>
      </c>
      <c r="S6" s="437"/>
      <c r="T6" s="92"/>
      <c r="U6" s="84"/>
    </row>
    <row r="7" spans="2:21" x14ac:dyDescent="0.3">
      <c r="B7" s="437"/>
      <c r="C7" s="438"/>
      <c r="D7" s="438"/>
      <c r="E7" s="438"/>
      <c r="F7" s="438"/>
      <c r="G7" s="438"/>
      <c r="H7" s="438"/>
      <c r="I7" s="438"/>
      <c r="J7" s="437"/>
      <c r="K7" s="438"/>
      <c r="L7" s="438"/>
      <c r="M7" s="392"/>
      <c r="N7" s="392"/>
      <c r="O7" s="392"/>
      <c r="P7" s="392"/>
      <c r="Q7" s="438"/>
      <c r="R7" s="196" t="str" cm="1">
        <f t="array" aca="1" ref="R7" ca="1">+IF(N7&gt;0,N7*INDIRECT(ADDRESS(MATCH(F7,'Cost Conversion'!$B$3:$B$48,0)+2,4,1,1,"Cost conversion"))*INDIRECT(ADDRESS(MATCH(G7,'Cost Conversion'!$F$3:$F$22,0)+2,8,1,1,"Cost conversion"))/IF(E7="$",'Cost Conversion'!$L$2,1),"")</f>
        <v/>
      </c>
      <c r="S7" s="437"/>
      <c r="T7" s="92"/>
      <c r="U7" s="84"/>
    </row>
    <row r="8" spans="2:21" x14ac:dyDescent="0.3">
      <c r="B8" s="437"/>
      <c r="C8" s="438"/>
      <c r="D8" s="438"/>
      <c r="E8" s="438"/>
      <c r="F8" s="438"/>
      <c r="G8" s="438"/>
      <c r="H8" s="438"/>
      <c r="I8" s="416"/>
      <c r="J8" s="437"/>
      <c r="K8" s="438"/>
      <c r="L8" s="438"/>
      <c r="M8" s="392"/>
      <c r="N8" s="438"/>
      <c r="O8" s="438"/>
      <c r="P8" s="438"/>
      <c r="Q8" s="438"/>
      <c r="R8" s="196" t="str" cm="1">
        <f t="array" aca="1" ref="R8" ca="1">+IF(N8&gt;0,N8*INDIRECT(ADDRESS(MATCH(F8,'Cost Conversion'!$B$3:$B$48,0)+2,4,1,1,"Cost conversion"))*INDIRECT(ADDRESS(MATCH(G8,'Cost Conversion'!$F$3:$F$22,0)+2,8,1,1,"Cost conversion"))/IF(E8="$",'Cost Conversion'!$L$2,1),"")</f>
        <v/>
      </c>
      <c r="S8" s="437"/>
      <c r="T8" s="92"/>
      <c r="U8" s="84"/>
    </row>
    <row r="9" spans="2:21" x14ac:dyDescent="0.3">
      <c r="B9" s="437"/>
      <c r="C9" s="438"/>
      <c r="D9" s="438"/>
      <c r="E9" s="438"/>
      <c r="F9" s="438"/>
      <c r="G9" s="438"/>
      <c r="H9" s="438"/>
      <c r="I9" s="438"/>
      <c r="J9" s="437"/>
      <c r="K9" s="438"/>
      <c r="L9" s="438"/>
      <c r="M9" s="438"/>
      <c r="N9" s="438"/>
      <c r="O9" s="438"/>
      <c r="P9" s="438"/>
      <c r="Q9" s="438"/>
      <c r="R9" s="196" t="str" cm="1">
        <f t="array" aca="1" ref="R9" ca="1">+IF(N9&gt;0,N9*INDIRECT(ADDRESS(MATCH(F9,'Cost Conversion'!$B$3:$B$48,0)+2,4,1,1,"Cost conversion"))*INDIRECT(ADDRESS(MATCH(G9,'Cost Conversion'!$F$3:$F$22,0)+2,8,1,1,"Cost conversion"))/IF(E9="$",'Cost Conversion'!$L$2,1),"")</f>
        <v/>
      </c>
      <c r="S9" s="437"/>
      <c r="T9" s="92"/>
      <c r="U9" s="84"/>
    </row>
    <row r="10" spans="2:21" x14ac:dyDescent="0.3">
      <c r="B10" s="389"/>
      <c r="C10" s="390"/>
      <c r="D10" s="390"/>
      <c r="E10" s="390"/>
      <c r="F10" s="390"/>
      <c r="G10" s="390"/>
      <c r="H10" s="390"/>
      <c r="I10" s="390"/>
      <c r="J10" s="389"/>
      <c r="K10" s="390"/>
      <c r="L10" s="390"/>
      <c r="M10" s="390"/>
      <c r="N10" s="390"/>
      <c r="O10" s="390"/>
      <c r="P10" s="390"/>
      <c r="Q10" s="390"/>
      <c r="R10" s="196" t="str" cm="1">
        <f t="array" aca="1" ref="R10" ca="1">+IF(N10&gt;0,N10*INDIRECT(ADDRESS(MATCH(F10,'Cost Conversion'!$B$3:$B$48,0)+2,4,1,1,"Cost conversion"))*INDIRECT(ADDRESS(MATCH(G10,'Cost Conversion'!$F$3:$F$22,0)+2,8,1,1,"Cost conversion"))/IF(E10="$",'Cost Conversion'!$L$2,1),"")</f>
        <v/>
      </c>
      <c r="S10" s="389"/>
      <c r="T10" s="397"/>
      <c r="U10" s="399"/>
    </row>
    <row r="11" spans="2:21" x14ac:dyDescent="0.3">
      <c r="B11" s="377"/>
      <c r="C11" s="378"/>
      <c r="D11" s="378"/>
      <c r="E11" s="378"/>
      <c r="F11" s="378"/>
      <c r="G11" s="378"/>
      <c r="H11" s="378"/>
      <c r="I11" s="378"/>
      <c r="J11" s="378"/>
      <c r="K11" s="378"/>
      <c r="L11" s="378"/>
      <c r="M11" s="378"/>
      <c r="N11" s="378"/>
      <c r="O11" s="378"/>
      <c r="P11" s="378"/>
      <c r="Q11" s="378"/>
      <c r="R11" s="378"/>
      <c r="S11" s="378"/>
      <c r="T11" s="330"/>
      <c r="U11" s="125"/>
    </row>
    <row r="12" spans="2:21" x14ac:dyDescent="0.3">
      <c r="B12" s="437"/>
      <c r="C12" s="438"/>
      <c r="D12" s="438"/>
      <c r="E12" s="438"/>
      <c r="F12" s="438"/>
      <c r="G12" s="438"/>
      <c r="H12" s="438"/>
      <c r="I12" s="438"/>
      <c r="J12" s="438"/>
      <c r="K12" s="438"/>
      <c r="L12" s="438"/>
      <c r="M12" s="438"/>
      <c r="N12" s="438"/>
      <c r="O12" s="438"/>
      <c r="P12" s="438"/>
      <c r="Q12" s="438"/>
      <c r="R12" s="438"/>
      <c r="S12" s="438"/>
      <c r="T12" s="92"/>
      <c r="U12" s="84"/>
    </row>
    <row r="13" spans="2:21" x14ac:dyDescent="0.3">
      <c r="B13" s="437"/>
      <c r="C13" s="438"/>
      <c r="D13" s="438"/>
      <c r="E13" s="438"/>
      <c r="F13" s="438"/>
      <c r="G13" s="438"/>
      <c r="H13" s="438"/>
      <c r="I13" s="438"/>
      <c r="J13" s="438"/>
      <c r="K13" s="438"/>
      <c r="L13" s="438"/>
      <c r="M13" s="438"/>
      <c r="N13" s="438"/>
      <c r="O13" s="438"/>
      <c r="P13" s="438"/>
      <c r="Q13" s="438"/>
      <c r="R13" s="438"/>
      <c r="S13" s="438"/>
      <c r="T13" s="92"/>
      <c r="U13" s="84"/>
    </row>
    <row r="14" spans="2:21" x14ac:dyDescent="0.3">
      <c r="B14" s="437"/>
      <c r="C14" s="438"/>
      <c r="D14" s="438"/>
      <c r="E14" s="438"/>
      <c r="F14" s="438"/>
      <c r="G14" s="438"/>
      <c r="H14" s="438"/>
      <c r="I14" s="438"/>
      <c r="J14" s="1204" t="str">
        <f>TEXT(C2,0)</f>
        <v>0</v>
      </c>
      <c r="K14" s="1205"/>
      <c r="L14" s="1205"/>
      <c r="M14" s="1205"/>
      <c r="N14" s="1205"/>
      <c r="O14" s="1205"/>
      <c r="P14" s="1205"/>
      <c r="Q14" s="1205"/>
      <c r="R14" s="1205"/>
      <c r="S14" s="1205"/>
      <c r="T14" s="1206"/>
      <c r="U14" s="84"/>
    </row>
    <row r="15" spans="2:21" x14ac:dyDescent="0.3">
      <c r="B15" s="437"/>
      <c r="C15" s="438"/>
      <c r="D15" s="438"/>
      <c r="E15" s="438"/>
      <c r="F15" s="438"/>
      <c r="G15" s="438"/>
      <c r="H15" s="438"/>
      <c r="I15" s="438"/>
      <c r="J15" s="419" t="s">
        <v>647</v>
      </c>
      <c r="K15" s="420">
        <v>1</v>
      </c>
      <c r="L15" s="420">
        <v>2</v>
      </c>
      <c r="M15" s="420">
        <v>3</v>
      </c>
      <c r="N15" s="420">
        <v>4</v>
      </c>
      <c r="O15" s="420">
        <v>5</v>
      </c>
      <c r="P15" s="420">
        <v>6</v>
      </c>
      <c r="Q15" s="420">
        <v>7</v>
      </c>
      <c r="R15" s="420">
        <v>8</v>
      </c>
      <c r="S15" s="420">
        <v>9</v>
      </c>
      <c r="T15" s="421">
        <v>10</v>
      </c>
      <c r="U15" s="84"/>
    </row>
    <row r="16" spans="2:21" x14ac:dyDescent="0.3">
      <c r="B16" s="437"/>
      <c r="C16" s="438"/>
      <c r="D16" s="438"/>
      <c r="E16" s="438"/>
      <c r="F16" s="438"/>
      <c r="G16" s="438"/>
      <c r="H16" s="438"/>
      <c r="I16" s="438"/>
      <c r="J16" s="86" t="str">
        <f>+TEXT(H5,0)&amp;" "&amp;"("&amp;TEXT(I5,0)&amp;")"</f>
        <v>0 (0)</v>
      </c>
      <c r="K16" s="449">
        <f>+P5</f>
        <v>0</v>
      </c>
      <c r="L16" s="422">
        <f>+K16+(O5-P5)/(T15-1)</f>
        <v>0</v>
      </c>
      <c r="M16" s="422">
        <f>+L16+(O5-P5)/(T15-1)</f>
        <v>0</v>
      </c>
      <c r="N16" s="422">
        <f>+M16+(O5-P5)/(T15-1)</f>
        <v>0</v>
      </c>
      <c r="O16" s="422">
        <f>+N16+(O5-P5)/(T15-1)</f>
        <v>0</v>
      </c>
      <c r="P16" s="422">
        <f>+O16+(O5-P5)/(T15-1)</f>
        <v>0</v>
      </c>
      <c r="Q16" s="422">
        <f>+P16+(O5-P5)/(T15-1)</f>
        <v>0</v>
      </c>
      <c r="R16" s="422">
        <f>+Q16+(O5-P5)/(T15-1)</f>
        <v>0</v>
      </c>
      <c r="S16" s="422">
        <f>+R16+(O5-P5)/(T15-1)</f>
        <v>0</v>
      </c>
      <c r="T16" s="423">
        <f>+S16+(O5-P5)/(T15-1)</f>
        <v>0</v>
      </c>
      <c r="U16" s="84"/>
    </row>
    <row r="17" spans="2:21" x14ac:dyDescent="0.3">
      <c r="B17" s="437"/>
      <c r="C17" s="438"/>
      <c r="D17" s="438"/>
      <c r="E17" s="438"/>
      <c r="F17" s="438"/>
      <c r="G17" s="438"/>
      <c r="H17" s="438"/>
      <c r="I17" s="438"/>
      <c r="J17" s="100" t="str">
        <f>+TEXT(B5,0)&amp;" - Scaling"</f>
        <v>0 - Scaling</v>
      </c>
      <c r="K17" s="359"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8" t="e">
        <f ca="1">+(Q5/L5)^J5*R5*((T16/Q5)/(M5/L5))^K5</f>
        <v>#DIV/0!</v>
      </c>
      <c r="U17" s="84"/>
    </row>
    <row r="18" spans="2:21" x14ac:dyDescent="0.3">
      <c r="B18" s="437"/>
      <c r="C18" s="438"/>
      <c r="D18" s="438"/>
      <c r="E18" s="438"/>
      <c r="F18" s="438"/>
      <c r="G18" s="438"/>
      <c r="H18" s="438"/>
      <c r="I18" s="438"/>
      <c r="J18" s="100" t="str">
        <f>+TEXT(B6,0)&amp;" - Scaling"</f>
        <v>0 - Scaling</v>
      </c>
      <c r="K18" s="269" t="e">
        <f ca="1">+(Q6/L6)^J6*R6*((K16/Q6)/(M6/L6))^K6</f>
        <v>#DIV/0!</v>
      </c>
      <c r="L18" s="392" t="e">
        <f ca="1">+(Q6/L6)^J6*R6*((L16/Q6)/(M6/L6))^K6</f>
        <v>#DIV/0!</v>
      </c>
      <c r="M18" s="392" t="e">
        <f ca="1">+(Q6/L6)^J6*R6*((M16/Q6)/(M6/L6))^K6</f>
        <v>#DIV/0!</v>
      </c>
      <c r="N18" s="392" t="e">
        <f ca="1">+(Q6/L6)^J6*R6*((N16/Q6)/(M6/L6))^K6</f>
        <v>#DIV/0!</v>
      </c>
      <c r="O18" s="392" t="e">
        <f ca="1">+(Q6/L6)^J6*R6*((O16/Q6)/(M6/L6))^K6</f>
        <v>#DIV/0!</v>
      </c>
      <c r="P18" s="392" t="e">
        <f ca="1">+(Q6/L6)^J6*R6*((P16/Q6)/(M6/L6))^K6</f>
        <v>#DIV/0!</v>
      </c>
      <c r="Q18" s="392" t="e">
        <f ca="1">+(Q6/L6)^J6*R6*((Q16/Q6)/(M6/L6))^K6</f>
        <v>#DIV/0!</v>
      </c>
      <c r="R18" s="392" t="e">
        <f ca="1">+(Q6/L6)^J6*R6*((R16/Q6)/(M6/L6))^K6</f>
        <v>#DIV/0!</v>
      </c>
      <c r="S18" s="392" t="e">
        <f ca="1">+(Q6/L6)^J6*R6*((S16/Q6)/(M6/L6))^K6</f>
        <v>#DIV/0!</v>
      </c>
      <c r="T18" s="265" t="e">
        <f ca="1">+(Q6/L6)^J6*R6*((T16/Q6)/(M6/L6))^K6</f>
        <v>#DIV/0!</v>
      </c>
      <c r="U18" s="84"/>
    </row>
    <row r="19" spans="2:21" x14ac:dyDescent="0.3">
      <c r="B19" s="437"/>
      <c r="C19" s="438"/>
      <c r="D19" s="438"/>
      <c r="E19" s="438"/>
      <c r="F19" s="438"/>
      <c r="G19" s="438"/>
      <c r="H19" s="438"/>
      <c r="I19" s="438"/>
      <c r="J19" s="100" t="str">
        <f>+TEXT(B7,0)&amp;" - Scaling"</f>
        <v>0 - Scaling</v>
      </c>
      <c r="K19" s="269" t="e">
        <f ca="1">+(Q7/L7)^J7*R7*((K16/Q7)/(M7/L7))^K7</f>
        <v>#DIV/0!</v>
      </c>
      <c r="L19" s="392" t="e">
        <f ca="1">+(Q7/L7)^J7*R7*((L16/Q7)/(M7/L7))^K7</f>
        <v>#DIV/0!</v>
      </c>
      <c r="M19" s="392" t="e">
        <f ca="1">+(Q7/L7)^J7*R7*((M16/Q7)/(M7/L7))^K7</f>
        <v>#DIV/0!</v>
      </c>
      <c r="N19" s="392" t="e">
        <f ca="1">+(Q7/L7)^J7*R7*((N16/Q7)/(M7/L7))^K7</f>
        <v>#DIV/0!</v>
      </c>
      <c r="O19" s="392" t="e">
        <f ca="1">+(Q7/L7)^J7*R7*((O16/Q7)/(M7/L7))^K7</f>
        <v>#DIV/0!</v>
      </c>
      <c r="P19" s="392" t="e">
        <f ca="1">+(Q7/L7)^J7*R7*((P16/Q7)/(M7/L7))^K7</f>
        <v>#DIV/0!</v>
      </c>
      <c r="Q19" s="392" t="e">
        <f ca="1">+(Q7/L7)^J7*R7*((Q16/Q7)/(M7/L7))^K7</f>
        <v>#DIV/0!</v>
      </c>
      <c r="R19" s="392" t="e">
        <f ca="1">+(Q7/L7)^J7*R7*((R16/Q7)/(M7/L7))^K7</f>
        <v>#DIV/0!</v>
      </c>
      <c r="S19" s="392" t="e">
        <f ca="1">+(Q7/L7)^J7*R7*((S16/Q7)/(M7/L7))^K7</f>
        <v>#DIV/0!</v>
      </c>
      <c r="T19" s="265" t="e">
        <f ca="1">+(Q7/L7)^J7*R7*((T16/Q7)/(M7/L7))^K7</f>
        <v>#DIV/0!</v>
      </c>
      <c r="U19" s="84"/>
    </row>
    <row r="20" spans="2:21" x14ac:dyDescent="0.3">
      <c r="B20" s="437"/>
      <c r="C20" s="438"/>
      <c r="D20" s="438"/>
      <c r="E20" s="438"/>
      <c r="F20" s="438"/>
      <c r="G20" s="438"/>
      <c r="H20" s="438"/>
      <c r="I20" s="438"/>
      <c r="J20" s="100" t="str">
        <f>+TEXT(B8,0)&amp;" - Scaling"</f>
        <v>0 - Scaling</v>
      </c>
      <c r="K20" s="269" t="e">
        <f ca="1">+(Q8/L8)^J8*R8*((K16/Q8)/(M8/L8))^K8</f>
        <v>#DIV/0!</v>
      </c>
      <c r="L20" s="392" t="e">
        <f ca="1">+(Q8/L8)^J8*R8*((L16/Q8)/(M8/L8))^K8</f>
        <v>#DIV/0!</v>
      </c>
      <c r="M20" s="392" t="e">
        <f ca="1">+(Q8/L8)^J8*R8*((M16/Q8)/(M8/L8))^K8</f>
        <v>#DIV/0!</v>
      </c>
      <c r="N20" s="392" t="e">
        <f ca="1">+(Q8/L8)^J8*R8*((N16/Q8)/(M8/L8))^K8</f>
        <v>#DIV/0!</v>
      </c>
      <c r="O20" s="392" t="e">
        <f ca="1">+(Q8/L8)^J8*R8*((O16/Q8)/(M8/L8))^K8</f>
        <v>#DIV/0!</v>
      </c>
      <c r="P20" s="392" t="e">
        <f ca="1">+(Q8/L8)^J8*R8*((P16/Q8)/(M8/L8))^K8</f>
        <v>#DIV/0!</v>
      </c>
      <c r="Q20" s="392" t="e">
        <f ca="1">+(Q8/L8)^J8*R8*((Q16/Q8)/(M8/L8))^K8</f>
        <v>#DIV/0!</v>
      </c>
      <c r="R20" s="392" t="e">
        <f ca="1">+(Q8/L8)^J8*R8*((R16/Q8)/(M8/L8))^K8</f>
        <v>#DIV/0!</v>
      </c>
      <c r="S20" s="392" t="e">
        <f ca="1">+(Q8/L8)^J8*R8*((S16/Q8)/(M8/L8))^K8</f>
        <v>#DIV/0!</v>
      </c>
      <c r="T20" s="265" t="e">
        <f ca="1">+(Q8/L8)^J8*R8*((T16/Q8)/(M8/L8))^K8</f>
        <v>#DIV/0!</v>
      </c>
      <c r="U20" s="84"/>
    </row>
    <row r="21" spans="2:21" x14ac:dyDescent="0.3">
      <c r="B21" s="437"/>
      <c r="C21" s="438"/>
      <c r="D21" s="438"/>
      <c r="E21" s="438"/>
      <c r="F21" s="438"/>
      <c r="G21" s="438"/>
      <c r="H21" s="438"/>
      <c r="I21" s="438"/>
      <c r="J21" s="100" t="str">
        <f t="shared" ref="J21:J22" si="0">+TEXT(B9,0)&amp;" - Scaling"</f>
        <v>0 - Scaling</v>
      </c>
      <c r="K21" s="437" t="e">
        <f ca="1">+(Q9/L9)^J9*R9*((K17/Q9)/(M9/L9))^K9</f>
        <v>#DIV/0!</v>
      </c>
      <c r="L21" s="392" t="e">
        <f ca="1">+(Q9/L9)^J9*R9*((L16/Q9)/(M9/L9))^K9</f>
        <v>#DIV/0!</v>
      </c>
      <c r="M21" s="392" t="e">
        <f ca="1">+(Q9/L9)^J9*R9*((M16/Q9)/(M9/L9))^K9</f>
        <v>#DIV/0!</v>
      </c>
      <c r="N21" s="392" t="e">
        <f ca="1">+(Q9/L9)^J9*R9*((N16/Q9)/(M9/L9))^K9</f>
        <v>#DIV/0!</v>
      </c>
      <c r="O21" s="392" t="e">
        <f ca="1">+(Q9/L9)^J9*R9*((O16/Q9)/(M9/L9))^K9</f>
        <v>#DIV/0!</v>
      </c>
      <c r="P21" s="392" t="e">
        <f ca="1">+(Q9/L9)^J9*R9*((P16/Q9)/(M9/L9))^K9</f>
        <v>#DIV/0!</v>
      </c>
      <c r="Q21" s="392" t="e">
        <f ca="1">+(Q9/L9)^J9*R9*((Q16/Q9)/(M9/L9))^K9</f>
        <v>#DIV/0!</v>
      </c>
      <c r="R21" s="392" t="e">
        <f ca="1">+(Q9/L9)^J9*R9*((R16/Q9)/(M9/L9))^K9</f>
        <v>#DIV/0!</v>
      </c>
      <c r="S21" s="392" t="e">
        <f ca="1">+(Q9/L9)^J9*R9*((S16/Q9)/(M9/L9))^K9</f>
        <v>#DIV/0!</v>
      </c>
      <c r="T21" s="265" t="e">
        <f ca="1">+(Q9/L9)^J9*R9*((T16/Q9)/(M9/L9))^K9</f>
        <v>#DIV/0!</v>
      </c>
      <c r="U21" s="84"/>
    </row>
    <row r="22" spans="2:21" x14ac:dyDescent="0.3">
      <c r="B22" s="437"/>
      <c r="C22" s="438"/>
      <c r="D22" s="438"/>
      <c r="E22" s="438"/>
      <c r="F22" s="438"/>
      <c r="G22" s="438"/>
      <c r="H22" s="438"/>
      <c r="I22" s="438"/>
      <c r="J22" s="100" t="str">
        <f t="shared" si="0"/>
        <v>0 - Scaling</v>
      </c>
      <c r="K22" s="389" t="e">
        <f ca="1">+(Q10/L10)^J10*R10*((K16/Q10)/(M10/L10))^K10</f>
        <v>#DIV/0!</v>
      </c>
      <c r="L22" s="451" t="e">
        <f ca="1">+(Q10/L10)^J10*R10*((L16/Q10)/(M10/L10))^K10</f>
        <v>#DIV/0!</v>
      </c>
      <c r="M22" s="451" t="e">
        <f ca="1">+(Q10/L10)^J10*R10*((M16/Q10)/(M10/L10))^K10</f>
        <v>#DIV/0!</v>
      </c>
      <c r="N22" s="451" t="e">
        <f ca="1">+(Q10/L10)^J10*R10*((N16/Q10)/(M10/L10))^K10</f>
        <v>#DIV/0!</v>
      </c>
      <c r="O22" s="451" t="e">
        <f ca="1">+(Q10/L10)^J10*R10*((O16/Q10)/(M10/L10))^K10</f>
        <v>#DIV/0!</v>
      </c>
      <c r="P22" s="451" t="e" cm="1">
        <f t="array" aca="1" ref="P22" ca="1">+(Q10/L10)^J10*R10*((P16/Q10)/(M10/P26L17))^K10</f>
        <v>#DIV/0!</v>
      </c>
      <c r="Q22" s="451" t="e">
        <f ca="1">+(Q10/L10)^J10*R10*((Q16/Q10)/(M10/L10))^K10</f>
        <v>#DIV/0!</v>
      </c>
      <c r="R22" s="451" t="e">
        <f ca="1">+(Q10/L10)^J10*R10*((R16/Q10)/(M10/L10))^K10</f>
        <v>#DIV/0!</v>
      </c>
      <c r="S22" s="451" t="e">
        <f ca="1">+(Q10/L10)^J10*R10*((S16/Q10)/(M10/L10))^K10</f>
        <v>#DIV/0!</v>
      </c>
      <c r="T22" s="387" t="e">
        <f ca="1">+(Q10/L10)^J10*R10*((T16/Q10)/(M10/L10))^K10</f>
        <v>#DIV/0!</v>
      </c>
      <c r="U22" s="84"/>
    </row>
    <row r="23" spans="2:21" x14ac:dyDescent="0.3">
      <c r="B23" s="437"/>
      <c r="C23" s="438"/>
      <c r="D23" s="438"/>
      <c r="E23" s="438"/>
      <c r="F23" s="438"/>
      <c r="G23" s="438"/>
      <c r="H23" s="438"/>
      <c r="I23" s="438"/>
      <c r="J23" s="86" t="s">
        <v>575</v>
      </c>
      <c r="K23" s="86" t="s">
        <v>651</v>
      </c>
      <c r="L23" s="438"/>
      <c r="M23" s="438"/>
      <c r="N23" s="438"/>
      <c r="O23" s="438"/>
      <c r="P23" s="438"/>
      <c r="Q23" s="438"/>
      <c r="R23" s="438"/>
      <c r="S23" s="438"/>
      <c r="T23" s="92"/>
      <c r="U23" s="84"/>
    </row>
    <row r="24" spans="2:21" x14ac:dyDescent="0.3">
      <c r="B24" s="437"/>
      <c r="C24" s="438"/>
      <c r="D24" s="438"/>
      <c r="E24" s="438"/>
      <c r="F24" s="438"/>
      <c r="G24" s="438"/>
      <c r="H24" s="438"/>
      <c r="I24" s="438"/>
      <c r="J24" s="444">
        <f>+B5</f>
        <v>0</v>
      </c>
      <c r="K24" s="403" t="e">
        <f ca="1">+R5/(M5/Q5)</f>
        <v>#VALUE!</v>
      </c>
      <c r="L24" s="438"/>
      <c r="M24" s="438"/>
      <c r="N24" s="438"/>
      <c r="O24" s="438"/>
      <c r="P24" s="438"/>
      <c r="Q24" s="438"/>
      <c r="R24" s="438"/>
      <c r="S24" s="438"/>
      <c r="T24" s="92"/>
      <c r="U24" s="84"/>
    </row>
    <row r="25" spans="2:21" x14ac:dyDescent="0.3">
      <c r="B25" s="437"/>
      <c r="C25" s="438"/>
      <c r="D25" s="438"/>
      <c r="E25" s="438"/>
      <c r="F25" s="438"/>
      <c r="G25" s="438"/>
      <c r="H25" s="438"/>
      <c r="I25" s="438"/>
      <c r="J25" s="100">
        <f>+B6</f>
        <v>0</v>
      </c>
      <c r="K25" s="417" t="e">
        <f ca="1">+R6/(M6/Q6)</f>
        <v>#VALUE!</v>
      </c>
      <c r="L25" s="438"/>
      <c r="M25" s="438"/>
      <c r="N25" s="438"/>
      <c r="O25" s="438"/>
      <c r="P25" s="438"/>
      <c r="Q25" s="438"/>
      <c r="R25" s="438"/>
      <c r="S25" s="438"/>
      <c r="T25" s="92"/>
      <c r="U25" s="84"/>
    </row>
    <row r="26" spans="2:21" x14ac:dyDescent="0.3">
      <c r="B26" s="91"/>
      <c r="C26" s="92"/>
      <c r="D26" s="92"/>
      <c r="E26" s="92"/>
      <c r="F26" s="438"/>
      <c r="G26" s="438"/>
      <c r="H26" s="92"/>
      <c r="I26" s="92"/>
      <c r="J26" s="100">
        <f>+B7</f>
        <v>0</v>
      </c>
      <c r="K26" s="417" t="e">
        <f ca="1">+R7/(M7/Q7)</f>
        <v>#VALUE!</v>
      </c>
      <c r="L26" s="92"/>
      <c r="M26" s="92"/>
      <c r="N26" s="92"/>
      <c r="O26" s="92"/>
      <c r="P26" s="92"/>
      <c r="Q26" s="92"/>
      <c r="R26" s="92"/>
      <c r="S26" s="92"/>
      <c r="T26" s="92"/>
      <c r="U26" s="84"/>
    </row>
    <row r="27" spans="2:21" x14ac:dyDescent="0.3">
      <c r="B27" s="91"/>
      <c r="C27" s="92"/>
      <c r="D27" s="92"/>
      <c r="E27" s="92"/>
      <c r="F27" s="438"/>
      <c r="G27" s="438"/>
      <c r="H27" s="92"/>
      <c r="I27" s="92"/>
      <c r="J27" s="445">
        <f>+B8</f>
        <v>0</v>
      </c>
      <c r="K27" s="424" t="e">
        <f ca="1">+R8/(M8/Q8)</f>
        <v>#VALUE!</v>
      </c>
      <c r="L27" s="92"/>
      <c r="M27" s="92"/>
      <c r="N27" s="92"/>
      <c r="O27" s="92"/>
      <c r="P27" s="92"/>
      <c r="Q27" s="92"/>
      <c r="R27" s="92"/>
      <c r="S27" s="92"/>
      <c r="T27" s="92"/>
      <c r="U27" s="84"/>
    </row>
    <row r="28" spans="2:21" x14ac:dyDescent="0.3">
      <c r="B28" s="91"/>
      <c r="C28" s="92"/>
      <c r="D28" s="92"/>
      <c r="E28" s="92"/>
      <c r="F28" s="438"/>
      <c r="G28" s="438"/>
      <c r="H28" s="92"/>
      <c r="I28" s="92"/>
      <c r="J28" s="438"/>
      <c r="K28" s="92"/>
      <c r="L28" s="92"/>
      <c r="M28" s="92"/>
      <c r="N28" s="92"/>
      <c r="O28" s="92"/>
      <c r="P28" s="92"/>
      <c r="Q28" s="92"/>
      <c r="R28" s="92"/>
      <c r="S28" s="92"/>
      <c r="T28" s="92"/>
      <c r="U28" s="84"/>
    </row>
    <row r="29" spans="2:21" x14ac:dyDescent="0.3">
      <c r="B29" s="91"/>
      <c r="C29" s="92"/>
      <c r="D29" s="92"/>
      <c r="E29" s="92"/>
      <c r="F29" s="438"/>
      <c r="G29" s="438"/>
      <c r="H29" s="92"/>
      <c r="I29" s="92"/>
      <c r="J29" s="92"/>
      <c r="K29" s="92"/>
      <c r="L29" s="92"/>
      <c r="M29" s="92"/>
      <c r="N29" s="92"/>
      <c r="O29" s="92"/>
      <c r="P29" s="92"/>
      <c r="Q29" s="92"/>
      <c r="R29" s="92"/>
      <c r="S29" s="92"/>
      <c r="T29" s="92"/>
      <c r="U29" s="84"/>
    </row>
    <row r="30" spans="2:21" x14ac:dyDescent="0.3">
      <c r="B30" s="91"/>
      <c r="C30" s="92"/>
      <c r="D30" s="92"/>
      <c r="E30" s="92"/>
      <c r="F30" s="438"/>
      <c r="G30" s="438"/>
      <c r="H30" s="92"/>
      <c r="I30" s="92"/>
      <c r="J30" s="92"/>
      <c r="K30" s="92"/>
      <c r="L30" s="92"/>
      <c r="M30" s="92"/>
      <c r="N30" s="92"/>
      <c r="O30" s="92"/>
      <c r="P30" s="92"/>
      <c r="Q30" s="92"/>
      <c r="R30" s="92"/>
      <c r="S30" s="92"/>
      <c r="T30" s="92"/>
      <c r="U30" s="84"/>
    </row>
    <row r="31" spans="2:21" x14ac:dyDescent="0.3">
      <c r="B31" s="91"/>
      <c r="C31" s="92"/>
      <c r="D31" s="92"/>
      <c r="E31" s="92"/>
      <c r="F31" s="438"/>
      <c r="G31" s="438"/>
      <c r="H31" s="92"/>
      <c r="I31" s="92"/>
      <c r="J31" s="92"/>
      <c r="K31" s="92"/>
      <c r="L31" s="92"/>
      <c r="M31" s="92"/>
      <c r="N31" s="92"/>
      <c r="O31" s="92"/>
      <c r="P31" s="92"/>
      <c r="Q31" s="92"/>
      <c r="R31" s="92"/>
      <c r="S31" s="92"/>
      <c r="T31" s="92"/>
      <c r="U31" s="84"/>
    </row>
    <row r="32" spans="2:21" x14ac:dyDescent="0.3">
      <c r="B32" s="91"/>
      <c r="C32" s="92"/>
      <c r="D32" s="92"/>
      <c r="E32" s="92"/>
      <c r="F32" s="438"/>
      <c r="G32" s="438"/>
      <c r="H32" s="92"/>
      <c r="I32" s="92"/>
      <c r="J32" s="92"/>
      <c r="K32" s="92"/>
      <c r="L32" s="92"/>
      <c r="M32" s="92"/>
      <c r="N32" s="92"/>
      <c r="O32" s="92"/>
      <c r="P32" s="92"/>
      <c r="Q32" s="92"/>
      <c r="R32" s="92"/>
      <c r="S32" s="92"/>
      <c r="T32" s="92"/>
      <c r="U32" s="84"/>
    </row>
    <row r="33" spans="2:21" x14ac:dyDescent="0.3">
      <c r="B33" s="91"/>
      <c r="C33" s="92"/>
      <c r="D33" s="92"/>
      <c r="E33" s="92"/>
      <c r="F33" s="438"/>
      <c r="G33" s="438"/>
      <c r="H33" s="92"/>
      <c r="I33" s="92"/>
      <c r="J33" s="92"/>
      <c r="K33" s="92"/>
      <c r="L33" s="92"/>
      <c r="M33" s="92"/>
      <c r="N33" s="92"/>
      <c r="O33" s="92"/>
      <c r="P33" s="92"/>
      <c r="Q33" s="92"/>
      <c r="R33" s="92"/>
      <c r="S33" s="92"/>
      <c r="T33" s="92"/>
      <c r="U33" s="84"/>
    </row>
    <row r="34" spans="2:21" x14ac:dyDescent="0.3">
      <c r="B34" s="91"/>
      <c r="C34" s="92"/>
      <c r="D34" s="92"/>
      <c r="E34" s="92"/>
      <c r="F34" s="438"/>
      <c r="G34" s="438"/>
      <c r="H34" s="92"/>
      <c r="I34" s="92"/>
      <c r="J34" s="92"/>
      <c r="K34" s="92"/>
      <c r="L34" s="92"/>
      <c r="M34" s="92"/>
      <c r="N34" s="92"/>
      <c r="O34" s="92"/>
      <c r="P34" s="92"/>
      <c r="Q34" s="92"/>
      <c r="R34" s="92"/>
      <c r="S34" s="92"/>
      <c r="T34" s="92"/>
      <c r="U34" s="84"/>
    </row>
    <row r="35" spans="2:21" x14ac:dyDescent="0.3">
      <c r="B35" s="91"/>
      <c r="C35" s="92"/>
      <c r="D35" s="92"/>
      <c r="E35" s="92"/>
      <c r="F35" s="438"/>
      <c r="G35" s="438"/>
      <c r="H35" s="92"/>
      <c r="I35" s="92"/>
      <c r="J35" s="92"/>
      <c r="K35" s="92"/>
      <c r="L35" s="92"/>
      <c r="M35" s="92"/>
      <c r="N35" s="92"/>
      <c r="O35" s="92"/>
      <c r="P35" s="92"/>
      <c r="Q35" s="92"/>
      <c r="R35" s="92"/>
      <c r="S35" s="92"/>
      <c r="T35" s="92"/>
      <c r="U35" s="84"/>
    </row>
    <row r="36" spans="2:21" x14ac:dyDescent="0.3">
      <c r="B36" s="396"/>
      <c r="C36" s="397"/>
      <c r="D36" s="397"/>
      <c r="E36" s="397"/>
      <c r="F36" s="390"/>
      <c r="G36" s="390"/>
      <c r="H36" s="397"/>
      <c r="I36" s="397"/>
      <c r="J36" s="397"/>
      <c r="K36" s="397"/>
      <c r="L36" s="397"/>
      <c r="M36" s="397"/>
      <c r="N36" s="397"/>
      <c r="O36" s="397"/>
      <c r="P36" s="397"/>
      <c r="Q36" s="397"/>
      <c r="R36" s="397"/>
      <c r="S36" s="397"/>
      <c r="T36" s="397"/>
      <c r="U36" s="399"/>
    </row>
    <row r="37" spans="2:21" x14ac:dyDescent="0.3">
      <c r="B37" s="195">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5CF7AD8-694B-44AC-8776-7C928E0A8AE3}">
  <ds:schemaRefs>
    <ds:schemaRef ds:uri="http://schemas.microsoft.com/DataMashup"/>
  </ds:schemaRefs>
</ds:datastoreItem>
</file>

<file path=customXml/itemProps2.xml><?xml version="1.0" encoding="utf-8"?>
<ds:datastoreItem xmlns:ds="http://schemas.openxmlformats.org/officeDocument/2006/customXml" ds:itemID="{2F656670-244E-483F-B5CB-BC345A6ACC84}">
  <ds:schemaRefs>
    <ds:schemaRef ds:uri="http://purl.org/dc/terms/"/>
    <ds:schemaRef ds:uri="http://schemas.microsoft.com/office/2006/metadata/properties"/>
    <ds:schemaRef ds:uri="http://schemas.microsoft.com/office/2006/documentManagement/types"/>
    <ds:schemaRef ds:uri="http://purl.org/dc/elements/1.1/"/>
    <ds:schemaRef ds:uri="http://schemas.microsoft.com/office/infopath/2007/PartnerControls"/>
    <ds:schemaRef ds:uri="8bbd4995-53b7-43e2-b62f-10947586ac31"/>
    <ds:schemaRef ds:uri="http://schemas.openxmlformats.org/package/2006/metadata/core-properties"/>
    <ds:schemaRef ds:uri="35c35788-dca2-4064-b918-caad7388341a"/>
    <ds:schemaRef ds:uri="http://www.w3.org/XML/1998/namespace"/>
    <ds:schemaRef ds:uri="http://purl.org/dc/dcmitype/"/>
  </ds:schemaRefs>
</ds:datastoreItem>
</file>

<file path=customXml/itemProps3.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4.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482</vt:i4>
      </vt:variant>
    </vt:vector>
  </HeadingPairs>
  <TitlesOfParts>
    <vt:vector size="502" baseType="lpstr">
      <vt:lpstr>SEA Tool</vt:lpstr>
      <vt:lpstr>Plant Overview</vt:lpstr>
      <vt:lpstr>Unit-100 - NG Pre-treating</vt:lpstr>
      <vt:lpstr>Unit-200 - GSR</vt:lpstr>
      <vt:lpstr>Unit-300 - Power Cycle </vt:lpstr>
      <vt:lpstr>Unit-400 - WGS</vt:lpstr>
      <vt:lpstr>Unit-500 - H2 Production</vt:lpstr>
      <vt:lpstr>Unit-600 - CO2 CPU</vt:lpstr>
      <vt:lpstr>Unit-700 - CWT</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'Unit-100 - NG Pre-treating'!Axial</vt:lpstr>
      <vt:lpstr>'Unit-200 - GSR'!Axial</vt:lpstr>
      <vt:lpstr>'Unit-300 - Power Cycle '!Axial</vt:lpstr>
      <vt:lpstr>'Unit-400 - WGS'!Axial</vt:lpstr>
      <vt:lpstr>'Unit-500 - H2 Production'!Axial</vt:lpstr>
      <vt:lpstr>'Unit-600 - CO2 CPU'!Axial</vt:lpstr>
      <vt:lpstr>'Unit-700 - CWT'!Axial</vt:lpstr>
      <vt:lpstr>'Unit-100 - NG Pre-treating'!Blender</vt:lpstr>
      <vt:lpstr>'Unit-200 - GSR'!Blender</vt:lpstr>
      <vt:lpstr>'Unit-300 - Power Cycle '!Blender</vt:lpstr>
      <vt:lpstr>'Unit-400 - WGS'!Blender</vt:lpstr>
      <vt:lpstr>'Unit-500 - H2 Production'!Blender</vt:lpstr>
      <vt:lpstr>'Unit-600 - CO2 CPU'!Blender</vt:lpstr>
      <vt:lpstr>'Unit-700 - CWT'!Blender</vt:lpstr>
      <vt:lpstr>'Unit-100 - NG Pre-treating'!Blender_Material</vt:lpstr>
      <vt:lpstr>'Unit-200 - GSR'!Blender_Material</vt:lpstr>
      <vt:lpstr>'Unit-300 - Power Cycle '!Blender_Material</vt:lpstr>
      <vt:lpstr>'Unit-400 - WGS'!Blender_Material</vt:lpstr>
      <vt:lpstr>'Unit-500 - H2 Production'!Blender_Material</vt:lpstr>
      <vt:lpstr>'Unit-600 - CO2 CPU'!Blender_Material</vt:lpstr>
      <vt:lpstr>'Unit-700 - CWT'!Blender_Material</vt:lpstr>
      <vt:lpstr>'Cash Flow Analysis'!Case</vt:lpstr>
      <vt:lpstr>'Estimate Benchmark'!Case</vt:lpstr>
      <vt:lpstr>'Plant Overview'!Case</vt:lpstr>
      <vt:lpstr>'Unit-100 - NG Pre-treating'!Case</vt:lpstr>
      <vt:lpstr>'Unit-200 - GSR'!Case</vt:lpstr>
      <vt:lpstr>'Unit-300 - Power Cycle '!Case</vt:lpstr>
      <vt:lpstr>'Unit-400 - WGS'!Case</vt:lpstr>
      <vt:lpstr>'Unit-500 - H2 Production'!Case</vt:lpstr>
      <vt:lpstr>'Unit-600 - CO2 CPU'!Case</vt:lpstr>
      <vt:lpstr>'Unit-700 - CWT'!Case</vt:lpstr>
      <vt:lpstr>'Unit-100 - NG Pre-treating'!Centrifuge</vt:lpstr>
      <vt:lpstr>'Unit-200 - GSR'!Centrifuge</vt:lpstr>
      <vt:lpstr>'Unit-300 - Power Cycle '!Centrifuge</vt:lpstr>
      <vt:lpstr>'Unit-400 - WGS'!Centrifuge</vt:lpstr>
      <vt:lpstr>'Unit-500 - H2 Production'!Centrifuge</vt:lpstr>
      <vt:lpstr>'Unit-600 - CO2 CPU'!Centrifuge</vt:lpstr>
      <vt:lpstr>'Unit-700 - CWT'!Centrifuge</vt:lpstr>
      <vt:lpstr>'Unit-100 - NG Pre-treating'!Centrifuge_Material</vt:lpstr>
      <vt:lpstr>'Unit-200 - GSR'!Centrifuge_Material</vt:lpstr>
      <vt:lpstr>'Unit-300 - Power Cycle '!Centrifuge_Material</vt:lpstr>
      <vt:lpstr>'Unit-400 - WGS'!Centrifuge_Material</vt:lpstr>
      <vt:lpstr>'Unit-500 - H2 Production'!Centrifuge_Material</vt:lpstr>
      <vt:lpstr>'Unit-600 - CO2 CPU'!Centrifuge_Material</vt:lpstr>
      <vt:lpstr>'Unit-700 - CWT'!Centrifuge_Material</vt:lpstr>
      <vt:lpstr>'Unit-100 - NG Pre-treating'!Compressor</vt:lpstr>
      <vt:lpstr>'Unit-200 - GSR'!Compressor</vt:lpstr>
      <vt:lpstr>'Unit-300 - Power Cycle '!Compressor</vt:lpstr>
      <vt:lpstr>'Unit-400 - WGS'!Compressor</vt:lpstr>
      <vt:lpstr>'Unit-500 - H2 Production'!Compressor</vt:lpstr>
      <vt:lpstr>'Unit-600 - CO2 CPU'!Compressor</vt:lpstr>
      <vt:lpstr>'Unit-700 - CWT'!Compressor</vt:lpstr>
      <vt:lpstr>'Unit-100 - NG Pre-treating'!Compressor_Material</vt:lpstr>
      <vt:lpstr>'Unit-200 - GSR'!Compressor_Material</vt:lpstr>
      <vt:lpstr>'Unit-300 - Power Cycle '!Compressor_Material</vt:lpstr>
      <vt:lpstr>'Unit-400 - WGS'!Compressor_Material</vt:lpstr>
      <vt:lpstr>'Unit-500 - H2 Production'!Compressor_Material</vt:lpstr>
      <vt:lpstr>'Unit-600 - CO2 CPU'!Compressor_Material</vt:lpstr>
      <vt:lpstr>'Unit-700 - CWT'!Compressor_Material</vt:lpstr>
      <vt:lpstr>'Cash Flow Analysis'!Construction</vt:lpstr>
      <vt:lpstr>'Estimate Benchmark'!Construction</vt:lpstr>
      <vt:lpstr>'Plant Overview'!Construction</vt:lpstr>
      <vt:lpstr>'Unit-100 - NG Pre-treating'!Construction</vt:lpstr>
      <vt:lpstr>'Unit-200 - GSR'!Construction</vt:lpstr>
      <vt:lpstr>'Unit-300 - Power Cycle '!Construction</vt:lpstr>
      <vt:lpstr>'Unit-400 - WGS'!Construction</vt:lpstr>
      <vt:lpstr>'Unit-500 - H2 Production'!Construction</vt:lpstr>
      <vt:lpstr>'Unit-600 - CO2 CPU'!Construction</vt:lpstr>
      <vt:lpstr>'Unit-700 - CWT'!Construction</vt:lpstr>
      <vt:lpstr>'Unit-100 - NG Pre-treating'!Conveyor</vt:lpstr>
      <vt:lpstr>'Unit-200 - GSR'!Conveyor</vt:lpstr>
      <vt:lpstr>'Unit-300 - Power Cycle '!Conveyor</vt:lpstr>
      <vt:lpstr>'Unit-400 - WGS'!Conveyor</vt:lpstr>
      <vt:lpstr>'Unit-500 - H2 Production'!Conveyor</vt:lpstr>
      <vt:lpstr>'Unit-600 - CO2 CPU'!Conveyor</vt:lpstr>
      <vt:lpstr>'Unit-700 - CWT'!Conveyor</vt:lpstr>
      <vt:lpstr>'Unit-100 - NG Pre-treating'!Conveyor_Material</vt:lpstr>
      <vt:lpstr>'Unit-200 - GSR'!Conveyor_Material</vt:lpstr>
      <vt:lpstr>'Unit-300 - Power Cycle '!Conveyor_Material</vt:lpstr>
      <vt:lpstr>'Unit-400 - WGS'!Conveyor_Material</vt:lpstr>
      <vt:lpstr>'Unit-500 - H2 Production'!Conveyor_Material</vt:lpstr>
      <vt:lpstr>'Unit-600 - CO2 CPU'!Conveyor_Material</vt:lpstr>
      <vt:lpstr>'Unit-700 - CWT'!Conveyor_Material</vt:lpstr>
      <vt:lpstr>'Unit-100 - NG Pre-treating'!Crystallizer</vt:lpstr>
      <vt:lpstr>'Unit-200 - GSR'!Crystallizer</vt:lpstr>
      <vt:lpstr>'Unit-300 - Power Cycle '!Crystallizer</vt:lpstr>
      <vt:lpstr>'Unit-400 - WGS'!Crystallizer</vt:lpstr>
      <vt:lpstr>'Unit-500 - H2 Production'!Crystallizer</vt:lpstr>
      <vt:lpstr>'Unit-600 - CO2 CPU'!Crystallizer</vt:lpstr>
      <vt:lpstr>'Unit-700 - CWT'!Crystallizer</vt:lpstr>
      <vt:lpstr>'Unit-100 - NG Pre-treating'!Crystallizer_Material</vt:lpstr>
      <vt:lpstr>'Unit-200 - GSR'!Crystallizer_Material</vt:lpstr>
      <vt:lpstr>'Unit-300 - Power Cycle '!Crystallizer_Material</vt:lpstr>
      <vt:lpstr>'Unit-400 - WGS'!Crystallizer_Material</vt:lpstr>
      <vt:lpstr>'Unit-500 - H2 Production'!Crystallizer_Material</vt:lpstr>
      <vt:lpstr>'Unit-600 - CO2 CPU'!Crystallizer_Material</vt:lpstr>
      <vt:lpstr>'Unit-700 - CWT'!Crystallizer_Material</vt:lpstr>
      <vt:lpstr>'Cash Flow Analysis'!Currency</vt:lpstr>
      <vt:lpstr>'Estimate Benchmark'!Currency</vt:lpstr>
      <vt:lpstr>'Plant Overview'!Currency</vt:lpstr>
      <vt:lpstr>'Unit-100 - NG Pre-treating'!Currency</vt:lpstr>
      <vt:lpstr>'Unit-200 - GSR'!Currency</vt:lpstr>
      <vt:lpstr>'Unit-300 - Power Cycle '!Currency</vt:lpstr>
      <vt:lpstr>'Unit-400 - WGS'!Currency</vt:lpstr>
      <vt:lpstr>'Unit-500 - H2 Production'!Currency</vt:lpstr>
      <vt:lpstr>'Unit-600 - CO2 CPU'!Currency</vt:lpstr>
      <vt:lpstr>'Unit-700 - CWT'!Currency</vt:lpstr>
      <vt:lpstr>'Unit-100 - NG Pre-treating'!Dirve_Material</vt:lpstr>
      <vt:lpstr>'Unit-200 - GSR'!Dirve_Material</vt:lpstr>
      <vt:lpstr>'Unit-300 - Power Cycle '!Dirve_Material</vt:lpstr>
      <vt:lpstr>'Unit-400 - WGS'!Dirve_Material</vt:lpstr>
      <vt:lpstr>'Unit-500 - H2 Production'!Dirve_Material</vt:lpstr>
      <vt:lpstr>'Unit-600 - CO2 CPU'!Dirve_Material</vt:lpstr>
      <vt:lpstr>'Unit-700 - CWT'!Dirve_Material</vt:lpstr>
      <vt:lpstr>'Unit-100 - NG Pre-treating'!Drive</vt:lpstr>
      <vt:lpstr>'Unit-200 - GSR'!Drive</vt:lpstr>
      <vt:lpstr>'Unit-300 - Power Cycle '!Drive</vt:lpstr>
      <vt:lpstr>'Unit-400 - WGS'!Drive</vt:lpstr>
      <vt:lpstr>'Unit-500 - H2 Production'!Drive</vt:lpstr>
      <vt:lpstr>'Unit-600 - CO2 CPU'!Drive</vt:lpstr>
      <vt:lpstr>'Unit-700 - CWT'!Drive</vt:lpstr>
      <vt:lpstr>'Unit-100 - NG Pre-treating'!Drive_Material</vt:lpstr>
      <vt:lpstr>'Unit-200 - GSR'!Drive_Material</vt:lpstr>
      <vt:lpstr>'Unit-300 - Power Cycle '!Drive_Material</vt:lpstr>
      <vt:lpstr>'Unit-400 - WGS'!Drive_Material</vt:lpstr>
      <vt:lpstr>'Unit-500 - H2 Production'!Drive_Material</vt:lpstr>
      <vt:lpstr>'Unit-600 - CO2 CPU'!Drive_Material</vt:lpstr>
      <vt:lpstr>'Unit-700 - CWT'!Drive_Material</vt:lpstr>
      <vt:lpstr>'Unit-100 - NG Pre-treating'!Dryer</vt:lpstr>
      <vt:lpstr>'Unit-200 - GSR'!Dryer</vt:lpstr>
      <vt:lpstr>'Unit-300 - Power Cycle '!Dryer</vt:lpstr>
      <vt:lpstr>'Unit-400 - WGS'!Dryer</vt:lpstr>
      <vt:lpstr>'Unit-500 - H2 Production'!Dryer</vt:lpstr>
      <vt:lpstr>'Unit-600 - CO2 CPU'!Dryer</vt:lpstr>
      <vt:lpstr>'Unit-700 - CWT'!Dryer</vt:lpstr>
      <vt:lpstr>'Unit-100 - NG Pre-treating'!Dryer_Material</vt:lpstr>
      <vt:lpstr>'Unit-200 - GSR'!Dryer_Material</vt:lpstr>
      <vt:lpstr>'Unit-300 - Power Cycle '!Dryer_Material</vt:lpstr>
      <vt:lpstr>'Unit-400 - WGS'!Dryer_Material</vt:lpstr>
      <vt:lpstr>'Unit-500 - H2 Production'!Dryer_Material</vt:lpstr>
      <vt:lpstr>'Unit-600 - CO2 CPU'!Dryer_Material</vt:lpstr>
      <vt:lpstr>'Unit-700 - CWT'!Dryer_Material</vt:lpstr>
      <vt:lpstr>'Unit-100 - NG Pre-treating'!DustCollectors</vt:lpstr>
      <vt:lpstr>'Unit-200 - GSR'!DustCollectors</vt:lpstr>
      <vt:lpstr>'Unit-300 - Power Cycle '!DustCollectors</vt:lpstr>
      <vt:lpstr>'Unit-400 - WGS'!DustCollectors</vt:lpstr>
      <vt:lpstr>'Unit-500 - H2 Production'!DustCollectors</vt:lpstr>
      <vt:lpstr>'Unit-600 - CO2 CPU'!DustCollectors</vt:lpstr>
      <vt:lpstr>'Unit-700 - CWT'!DustCollectors</vt:lpstr>
      <vt:lpstr>'Unit-100 - NG Pre-treating'!DustCollectors_Material</vt:lpstr>
      <vt:lpstr>'Unit-200 - GSR'!DustCollectors_Material</vt:lpstr>
      <vt:lpstr>'Unit-300 - Power Cycle '!DustCollectors_Material</vt:lpstr>
      <vt:lpstr>'Unit-400 - WGS'!DustCollectors_Material</vt:lpstr>
      <vt:lpstr>'Unit-500 - H2 Production'!DustCollectors_Material</vt:lpstr>
      <vt:lpstr>'Unit-600 - CO2 CPU'!DustCollectors_Material</vt:lpstr>
      <vt:lpstr>'Unit-700 - CWT'!DustCollectors_Material</vt:lpstr>
      <vt:lpstr>'Unit-100 - NG Pre-treating'!Equipment</vt:lpstr>
      <vt:lpstr>'Unit-200 - GSR'!Equipment</vt:lpstr>
      <vt:lpstr>'Unit-300 - Power Cycle '!Equipment</vt:lpstr>
      <vt:lpstr>'Unit-400 - WGS'!Equipment</vt:lpstr>
      <vt:lpstr>'Unit-500 - H2 Production'!Equipment</vt:lpstr>
      <vt:lpstr>'Unit-600 - CO2 CPU'!Equipment</vt:lpstr>
      <vt:lpstr>'Unit-700 - CWT'!Equipment</vt:lpstr>
      <vt:lpstr>'Unit-100 - NG Pre-treating'!Evaporator</vt:lpstr>
      <vt:lpstr>'Unit-200 - GSR'!Evaporator</vt:lpstr>
      <vt:lpstr>'Unit-300 - Power Cycle '!Evaporator</vt:lpstr>
      <vt:lpstr>'Unit-400 - WGS'!Evaporator</vt:lpstr>
      <vt:lpstr>'Unit-500 - H2 Production'!Evaporator</vt:lpstr>
      <vt:lpstr>'Unit-600 - CO2 CPU'!Evaporator</vt:lpstr>
      <vt:lpstr>'Unit-700 - CWT'!Evaporator</vt:lpstr>
      <vt:lpstr>'Unit-100 - NG Pre-treating'!Evaporator_Material</vt:lpstr>
      <vt:lpstr>'Unit-200 - GSR'!Evaporator_Material</vt:lpstr>
      <vt:lpstr>'Unit-300 - Power Cycle '!Evaporator_Material</vt:lpstr>
      <vt:lpstr>'Unit-400 - WGS'!Evaporator_Material</vt:lpstr>
      <vt:lpstr>'Unit-500 - H2 Production'!Evaporator_Material</vt:lpstr>
      <vt:lpstr>'Unit-600 - CO2 CPU'!Evaporator_Material</vt:lpstr>
      <vt:lpstr>'Unit-700 - CWT'!Evaporator_Material</vt:lpstr>
      <vt:lpstr>'Unit-100 - NG Pre-treating'!Fan</vt:lpstr>
      <vt:lpstr>'Unit-200 - GSR'!Fan</vt:lpstr>
      <vt:lpstr>'Unit-300 - Power Cycle '!Fan</vt:lpstr>
      <vt:lpstr>'Unit-400 - WGS'!Fan</vt:lpstr>
      <vt:lpstr>'Unit-500 - H2 Production'!Fan</vt:lpstr>
      <vt:lpstr>'Unit-600 - CO2 CPU'!Fan</vt:lpstr>
      <vt:lpstr>'Unit-700 - CWT'!Fan</vt:lpstr>
      <vt:lpstr>'Unit-100 - NG Pre-treating'!Fan_Material</vt:lpstr>
      <vt:lpstr>'Unit-200 - GSR'!Fan_Material</vt:lpstr>
      <vt:lpstr>'Unit-300 - Power Cycle '!Fan_Material</vt:lpstr>
      <vt:lpstr>'Unit-400 - WGS'!Fan_Material</vt:lpstr>
      <vt:lpstr>'Unit-500 - H2 Production'!Fan_Material</vt:lpstr>
      <vt:lpstr>'Unit-600 - CO2 CPU'!Fan_Material</vt:lpstr>
      <vt:lpstr>'Unit-700 - CWT'!Fan_Material</vt:lpstr>
      <vt:lpstr>'Unit-100 - NG Pre-treating'!Filter</vt:lpstr>
      <vt:lpstr>'Unit-200 - GSR'!Filter</vt:lpstr>
      <vt:lpstr>'Unit-300 - Power Cycle '!Filter</vt:lpstr>
      <vt:lpstr>'Unit-400 - WGS'!Filter</vt:lpstr>
      <vt:lpstr>'Unit-500 - H2 Production'!Filter</vt:lpstr>
      <vt:lpstr>'Unit-600 - CO2 CPU'!Filter</vt:lpstr>
      <vt:lpstr>'Unit-700 - CWT'!Filter</vt:lpstr>
      <vt:lpstr>'Unit-100 - NG Pre-treating'!Filter_Material</vt:lpstr>
      <vt:lpstr>'Unit-200 - GSR'!Filter_Material</vt:lpstr>
      <vt:lpstr>'Unit-300 - Power Cycle '!Filter_Material</vt:lpstr>
      <vt:lpstr>'Unit-400 - WGS'!Filter_Material</vt:lpstr>
      <vt:lpstr>'Unit-500 - H2 Production'!Filter_Material</vt:lpstr>
      <vt:lpstr>'Unit-600 - CO2 CPU'!Filter_Material</vt:lpstr>
      <vt:lpstr>'Unit-700 - CWT'!Filter_Material</vt:lpstr>
      <vt:lpstr>'Unit-100 - NG Pre-treating'!FiredHeater</vt:lpstr>
      <vt:lpstr>'Unit-200 - GSR'!FiredHeater</vt:lpstr>
      <vt:lpstr>'Unit-300 - Power Cycle '!FiredHeater</vt:lpstr>
      <vt:lpstr>'Unit-400 - WGS'!FiredHeater</vt:lpstr>
      <vt:lpstr>'Unit-500 - H2 Production'!FiredHeater</vt:lpstr>
      <vt:lpstr>'Unit-600 - CO2 CPU'!FiredHeater</vt:lpstr>
      <vt:lpstr>'Unit-700 - CWT'!FiredHeater</vt:lpstr>
      <vt:lpstr>'Unit-100 - NG Pre-treating'!FiredHeater_Material</vt:lpstr>
      <vt:lpstr>'Unit-200 - GSR'!FiredHeater_Material</vt:lpstr>
      <vt:lpstr>'Unit-300 - Power Cycle '!FiredHeater_Material</vt:lpstr>
      <vt:lpstr>'Unit-400 - WGS'!FiredHeater_Material</vt:lpstr>
      <vt:lpstr>'Unit-500 - H2 Production'!FiredHeater_Material</vt:lpstr>
      <vt:lpstr>'Unit-600 - CO2 CPU'!FiredHeater_Material</vt:lpstr>
      <vt:lpstr>'Unit-700 - CWT'!FiredHeater_Material</vt:lpstr>
      <vt:lpstr>'Unit-100 - NG Pre-treating'!HeatExchanger</vt:lpstr>
      <vt:lpstr>'Unit-200 - GSR'!HeatExchanger</vt:lpstr>
      <vt:lpstr>'Unit-300 - Power Cycle '!HeatExchanger</vt:lpstr>
      <vt:lpstr>'Unit-400 - WGS'!HeatExchanger</vt:lpstr>
      <vt:lpstr>'Unit-500 - H2 Production'!HeatExchanger</vt:lpstr>
      <vt:lpstr>'Unit-600 - CO2 CPU'!HeatExchanger</vt:lpstr>
      <vt:lpstr>'Unit-700 - CWT'!HeatExchanger</vt:lpstr>
      <vt:lpstr>'Unit-100 - NG Pre-treating'!HeatExchanger_AirCooler_Material</vt:lpstr>
      <vt:lpstr>'Unit-200 - GSR'!HeatExchanger_AirCooler_Material</vt:lpstr>
      <vt:lpstr>'Unit-300 - Power Cycle '!HeatExchanger_AirCooler_Material</vt:lpstr>
      <vt:lpstr>'Unit-400 - WGS'!HeatExchanger_AirCooler_Material</vt:lpstr>
      <vt:lpstr>'Unit-500 - H2 Production'!HeatExchanger_AirCooler_Material</vt:lpstr>
      <vt:lpstr>'Unit-600 - CO2 CPU'!HeatExchanger_AirCooler_Material</vt:lpstr>
      <vt:lpstr>'Unit-100 - NG Pre-treating'!HeatExchanger_Bayonet_Material</vt:lpstr>
      <vt:lpstr>'Unit-200 - GSR'!HeatExchanger_Bayonet_Material</vt:lpstr>
      <vt:lpstr>'Unit-300 - Power Cycle '!HeatExchanger_Bayonet_Material</vt:lpstr>
      <vt:lpstr>'Unit-400 - WGS'!HeatExchanger_Bayonet_Material</vt:lpstr>
      <vt:lpstr>'Unit-500 - H2 Production'!HeatExchanger_Bayonet_Material</vt:lpstr>
      <vt:lpstr>'Unit-600 - CO2 CPU'!HeatExchanger_Bayonet_Material</vt:lpstr>
      <vt:lpstr>'Unit-100 - NG Pre-treating'!HeatExchanger_DoublePipe_Material</vt:lpstr>
      <vt:lpstr>'Unit-200 - GSR'!HeatExchanger_DoublePipe_Material</vt:lpstr>
      <vt:lpstr>'Unit-300 - Power Cycle '!HeatExchanger_DoublePipe_Material</vt:lpstr>
      <vt:lpstr>'Unit-400 - WGS'!HeatExchanger_DoublePipe_Material</vt:lpstr>
      <vt:lpstr>'Unit-500 - H2 Production'!HeatExchanger_DoublePipe_Material</vt:lpstr>
      <vt:lpstr>'Unit-600 - CO2 CPU'!HeatExchanger_DoublePipe_Material</vt:lpstr>
      <vt:lpstr>'Unit-100 - NG Pre-treating'!HeatExchanger_FixedtubesheetorUtube_Material</vt:lpstr>
      <vt:lpstr>'Unit-200 - GSR'!HeatExchanger_FixedtubesheetorUtube_Material</vt:lpstr>
      <vt:lpstr>'Unit-300 - Power Cycle '!HeatExchanger_FixedtubesheetorUtube_Material</vt:lpstr>
      <vt:lpstr>'Unit-400 - WGS'!HeatExchanger_FixedtubesheetorUtube_Material</vt:lpstr>
      <vt:lpstr>'Unit-500 - H2 Production'!HeatExchanger_FixedtubesheetorUtube_Material</vt:lpstr>
      <vt:lpstr>'Unit-600 - CO2 CPU'!HeatExchanger_FixedtubesheetorUtube_Material</vt:lpstr>
      <vt:lpstr>'Unit-100 - NG Pre-treating'!HeatExchanger_FlatPlate_Material</vt:lpstr>
      <vt:lpstr>'Unit-200 - GSR'!HeatExchanger_FlatPlate_Material</vt:lpstr>
      <vt:lpstr>'Unit-300 - Power Cycle '!HeatExchanger_FlatPlate_Material</vt:lpstr>
      <vt:lpstr>'Unit-400 - WGS'!HeatExchanger_FlatPlate_Material</vt:lpstr>
      <vt:lpstr>'Unit-500 - H2 Production'!HeatExchanger_FlatPlate_Material</vt:lpstr>
      <vt:lpstr>'Unit-600 - CO2 CPU'!HeatExchanger_FlatPlate_Material</vt:lpstr>
      <vt:lpstr>'Unit-100 - NG Pre-treating'!HeatExchanger_FloatingHead_Material</vt:lpstr>
      <vt:lpstr>'Unit-200 - GSR'!HeatExchanger_FloatingHead_Material</vt:lpstr>
      <vt:lpstr>'Unit-300 - Power Cycle '!HeatExchanger_FloatingHead_Material</vt:lpstr>
      <vt:lpstr>'Unit-400 - WGS'!HeatExchanger_FloatingHead_Material</vt:lpstr>
      <vt:lpstr>'Unit-500 - H2 Production'!HeatExchanger_FloatingHead_Material</vt:lpstr>
      <vt:lpstr>'Unit-600 - CO2 CPU'!HeatExchanger_FloatingHead_Material</vt:lpstr>
      <vt:lpstr>'Unit-100 - NG Pre-treating'!HeatExchanger_KettleReboiler_Material</vt:lpstr>
      <vt:lpstr>'Unit-200 - GSR'!HeatExchanger_KettleReboiler_Material</vt:lpstr>
      <vt:lpstr>'Unit-300 - Power Cycle '!HeatExchanger_KettleReboiler_Material</vt:lpstr>
      <vt:lpstr>'Unit-400 - WGS'!HeatExchanger_KettleReboiler_Material</vt:lpstr>
      <vt:lpstr>'Unit-500 - H2 Production'!HeatExchanger_KettleReboiler_Material</vt:lpstr>
      <vt:lpstr>'Unit-600 - CO2 CPU'!HeatExchanger_KettleReboiler_Material</vt:lpstr>
      <vt:lpstr>'Unit-100 - NG Pre-treating'!HeatExchanger_Material</vt:lpstr>
      <vt:lpstr>'Unit-200 - GSR'!HeatExchanger_Material</vt:lpstr>
      <vt:lpstr>'Unit-300 - Power Cycle '!HeatExchanger_Material</vt:lpstr>
      <vt:lpstr>'Unit-400 - WGS'!HeatExchanger_Material</vt:lpstr>
      <vt:lpstr>'Unit-500 - H2 Production'!HeatExchanger_Material</vt:lpstr>
      <vt:lpstr>'Unit-600 - CO2 CPU'!HeatExchanger_Material</vt:lpstr>
      <vt:lpstr>'Unit-700 - CWT'!HeatExchanger_Material</vt:lpstr>
      <vt:lpstr>'Unit-100 - NG Pre-treating'!HeatExchanger_MultiplePipe_Material</vt:lpstr>
      <vt:lpstr>'Unit-200 - GSR'!HeatExchanger_MultiplePipe_Material</vt:lpstr>
      <vt:lpstr>'Unit-300 - Power Cycle '!HeatExchanger_MultiplePipe_Material</vt:lpstr>
      <vt:lpstr>'Unit-400 - WGS'!HeatExchanger_MultiplePipe_Material</vt:lpstr>
      <vt:lpstr>'Unit-500 - H2 Production'!HeatExchanger_MultiplePipe_Material</vt:lpstr>
      <vt:lpstr>'Unit-600 - CO2 CPU'!HeatExchanger_MultiplePipe_Material</vt:lpstr>
      <vt:lpstr>'Unit-100 - NG Pre-treating'!HeatExchanger_ScrapedWall_Material</vt:lpstr>
      <vt:lpstr>'Unit-200 - GSR'!HeatExchanger_ScrapedWall_Material</vt:lpstr>
      <vt:lpstr>'Unit-300 - Power Cycle '!HeatExchanger_ScrapedWall_Material</vt:lpstr>
      <vt:lpstr>'Unit-400 - WGS'!HeatExchanger_ScrapedWall_Material</vt:lpstr>
      <vt:lpstr>'Unit-500 - H2 Production'!HeatExchanger_ScrapedWall_Material</vt:lpstr>
      <vt:lpstr>'Unit-600 - CO2 CPU'!HeatExchanger_ScrapedWall_Material</vt:lpstr>
      <vt:lpstr>'Unit-100 - NG Pre-treating'!HeatExchanger_SpiralPlate_Material</vt:lpstr>
      <vt:lpstr>'Unit-200 - GSR'!HeatExchanger_SpiralPlate_Material</vt:lpstr>
      <vt:lpstr>'Unit-300 - Power Cycle '!HeatExchanger_SpiralPlate_Material</vt:lpstr>
      <vt:lpstr>'Unit-400 - WGS'!HeatExchanger_SpiralPlate_Material</vt:lpstr>
      <vt:lpstr>'Unit-500 - H2 Production'!HeatExchanger_SpiralPlate_Material</vt:lpstr>
      <vt:lpstr>'Unit-600 - CO2 CPU'!HeatExchanger_SpiralPlate_Material</vt:lpstr>
      <vt:lpstr>'Unit-100 - NG Pre-treating'!HeatExchanger_SpiralTube_Material</vt:lpstr>
      <vt:lpstr>'Unit-200 - GSR'!HeatExchanger_SpiralTube_Material</vt:lpstr>
      <vt:lpstr>'Unit-300 - Power Cycle '!HeatExchanger_SpiralTube_Material</vt:lpstr>
      <vt:lpstr>'Unit-400 - WGS'!HeatExchanger_SpiralTube_Material</vt:lpstr>
      <vt:lpstr>'Unit-500 - H2 Production'!HeatExchanger_SpiralTube_Material</vt:lpstr>
      <vt:lpstr>'Unit-600 - CO2 CPU'!HeatExchanger_SpiralTube_Material</vt:lpstr>
      <vt:lpstr>'Unit-100 - NG Pre-treating'!HeatExchanger_TeflonTubeExchanger_Material</vt:lpstr>
      <vt:lpstr>'Unit-200 - GSR'!HeatExchanger_TeflonTubeExchanger_Material</vt:lpstr>
      <vt:lpstr>'Unit-300 - Power Cycle '!HeatExchanger_TeflonTubeExchanger_Material</vt:lpstr>
      <vt:lpstr>'Unit-400 - WGS'!HeatExchanger_TeflonTubeExchanger_Material</vt:lpstr>
      <vt:lpstr>'Unit-500 - H2 Production'!HeatExchanger_TeflonTubeExchanger_Material</vt:lpstr>
      <vt:lpstr>'Unit-600 - CO2 CPU'!HeatExchanger_TeflonTubeExchanger_Material</vt:lpstr>
      <vt:lpstr>'Cash Flow Analysis'!Indicator</vt:lpstr>
      <vt:lpstr>'Cash Flow Analysis'!Lifetime</vt:lpstr>
      <vt:lpstr>'Estimate Benchmark'!Lifetime</vt:lpstr>
      <vt:lpstr>'Plant Overview'!Lifetime</vt:lpstr>
      <vt:lpstr>'Unit-100 - NG Pre-treating'!Lifetime</vt:lpstr>
      <vt:lpstr>'Unit-200 - GSR'!Lifetime</vt:lpstr>
      <vt:lpstr>'Unit-300 - Power Cycle '!Lifetime</vt:lpstr>
      <vt:lpstr>'Unit-400 - WGS'!Lifetime</vt:lpstr>
      <vt:lpstr>'Unit-500 - H2 Production'!Lifetime</vt:lpstr>
      <vt:lpstr>'Unit-600 - CO2 CPU'!Lifetime</vt:lpstr>
      <vt:lpstr>'Unit-700 - CWT'!Lifetime</vt:lpstr>
      <vt:lpstr>'Cash Flow Analysis'!Location</vt:lpstr>
      <vt:lpstr>'Estimate Benchmark'!Location</vt:lpstr>
      <vt:lpstr>'Plant Overview'!Location</vt:lpstr>
      <vt:lpstr>'Unit-100 - NG Pre-treating'!Location</vt:lpstr>
      <vt:lpstr>'Unit-200 - GSR'!Location</vt:lpstr>
      <vt:lpstr>'Unit-300 - Power Cycle '!Location</vt:lpstr>
      <vt:lpstr>'Unit-400 - WGS'!Location</vt:lpstr>
      <vt:lpstr>'Unit-500 - H2 Production'!Location</vt:lpstr>
      <vt:lpstr>'Unit-600 - CO2 CPU'!Location</vt:lpstr>
      <vt:lpstr>'Unit-700 - CWT'!Location</vt:lpstr>
      <vt:lpstr>'Unit-100 - NG Pre-treating'!Mixer</vt:lpstr>
      <vt:lpstr>'Unit-200 - GSR'!Mixer</vt:lpstr>
      <vt:lpstr>'Unit-300 - Power Cycle '!Mixer</vt:lpstr>
      <vt:lpstr>'Unit-400 - WGS'!Mixer</vt:lpstr>
      <vt:lpstr>'Unit-500 - H2 Production'!Mixer</vt:lpstr>
      <vt:lpstr>'Unit-600 - CO2 CPU'!Mixer</vt:lpstr>
      <vt:lpstr>'Unit-700 - CWT'!Mixer</vt:lpstr>
      <vt:lpstr>'Unit-100 - NG Pre-treating'!Mixer_Material</vt:lpstr>
      <vt:lpstr>'Unit-200 - GSR'!Mixer_Material</vt:lpstr>
      <vt:lpstr>'Unit-300 - Power Cycle '!Mixer_Material</vt:lpstr>
      <vt:lpstr>'Unit-400 - WGS'!Mixer_Material</vt:lpstr>
      <vt:lpstr>'Unit-500 - H2 Production'!Mixer_Material</vt:lpstr>
      <vt:lpstr>'Unit-600 - CO2 CPU'!Mixer_Material</vt:lpstr>
      <vt:lpstr>'Unit-700 - CWT'!Mixer_Material</vt:lpstr>
      <vt:lpstr>'Unit-100 - NG Pre-treating'!Pump</vt:lpstr>
      <vt:lpstr>'Unit-200 - GSR'!Pump</vt:lpstr>
      <vt:lpstr>'Unit-300 - Power Cycle '!Pump</vt:lpstr>
      <vt:lpstr>'Unit-400 - WGS'!Pump</vt:lpstr>
      <vt:lpstr>'Unit-500 - H2 Production'!Pump</vt:lpstr>
      <vt:lpstr>'Unit-600 - CO2 CPU'!Pump</vt:lpstr>
      <vt:lpstr>'Unit-700 - CWT'!Pump</vt:lpstr>
      <vt:lpstr>'Unit-100 - NG Pre-treating'!Pump_Material</vt:lpstr>
      <vt:lpstr>'Unit-200 - GSR'!Pump_Material</vt:lpstr>
      <vt:lpstr>'Unit-300 - Power Cycle '!Pump_Material</vt:lpstr>
      <vt:lpstr>'Unit-400 - WGS'!Pump_Material</vt:lpstr>
      <vt:lpstr>'Unit-500 - H2 Production'!Pump_Material</vt:lpstr>
      <vt:lpstr>'Unit-600 - CO2 CPU'!Pump_Material</vt:lpstr>
      <vt:lpstr>'Unit-700 - CWT'!Pump_Material</vt:lpstr>
      <vt:lpstr>'Unit-100 - NG Pre-treating'!Reactor</vt:lpstr>
      <vt:lpstr>'Unit-200 - GSR'!Reactor</vt:lpstr>
      <vt:lpstr>'Unit-300 - Power Cycle '!Reactor</vt:lpstr>
      <vt:lpstr>'Unit-400 - WGS'!Reactor</vt:lpstr>
      <vt:lpstr>'Unit-500 - H2 Production'!Reactor</vt:lpstr>
      <vt:lpstr>'Unit-600 - CO2 CPU'!Reactor</vt:lpstr>
      <vt:lpstr>'Unit-700 - CWT'!Reactor</vt:lpstr>
      <vt:lpstr>'Unit-100 - NG Pre-treating'!Reactor_Material</vt:lpstr>
      <vt:lpstr>'Unit-200 - GSR'!Reactor_Material</vt:lpstr>
      <vt:lpstr>'Unit-300 - Power Cycle '!Reactor_Material</vt:lpstr>
      <vt:lpstr>'Unit-400 - WGS'!Reactor_Material</vt:lpstr>
      <vt:lpstr>'Unit-500 - H2 Production'!Reactor_Material</vt:lpstr>
      <vt:lpstr>'Unit-600 - CO2 CPU'!Reactor_Material</vt:lpstr>
      <vt:lpstr>'Unit-700 - CWT'!Reactor_Material</vt:lpstr>
      <vt:lpstr>'Unit-100 - NG Pre-treating'!Screen</vt:lpstr>
      <vt:lpstr>'Unit-200 - GSR'!Screen</vt:lpstr>
      <vt:lpstr>'Unit-300 - Power Cycle '!Screen</vt:lpstr>
      <vt:lpstr>'Unit-400 - WGS'!Screen</vt:lpstr>
      <vt:lpstr>'Unit-500 - H2 Production'!Screen</vt:lpstr>
      <vt:lpstr>'Unit-600 - CO2 CPU'!Screen</vt:lpstr>
      <vt:lpstr>'Unit-700 - CWT'!Screen</vt:lpstr>
      <vt:lpstr>'Unit-100 - NG Pre-treating'!Screen_Material</vt:lpstr>
      <vt:lpstr>'Unit-200 - GSR'!Screen_Material</vt:lpstr>
      <vt:lpstr>'Unit-300 - Power Cycle '!Screen_Material</vt:lpstr>
      <vt:lpstr>'Unit-400 - WGS'!Screen_Material</vt:lpstr>
      <vt:lpstr>'Unit-500 - H2 Production'!Screen_Material</vt:lpstr>
      <vt:lpstr>'Unit-600 - CO2 CPU'!Screen_Material</vt:lpstr>
      <vt:lpstr>'Unit-700 - CWT'!Screen_Material</vt:lpstr>
      <vt:lpstr>'Unit-100 - NG Pre-treating'!Tank</vt:lpstr>
      <vt:lpstr>'Unit-200 - GSR'!Tank</vt:lpstr>
      <vt:lpstr>'Unit-300 - Power Cycle '!Tank</vt:lpstr>
      <vt:lpstr>'Unit-400 - WGS'!Tank</vt:lpstr>
      <vt:lpstr>'Unit-500 - H2 Production'!Tank</vt:lpstr>
      <vt:lpstr>'Unit-600 - CO2 CPU'!Tank</vt:lpstr>
      <vt:lpstr>'Unit-700 - CWT'!Tank</vt:lpstr>
      <vt:lpstr>'Unit-100 - NG Pre-treating'!Tank_Material</vt:lpstr>
      <vt:lpstr>'Unit-200 - GSR'!Tank_Material</vt:lpstr>
      <vt:lpstr>'Unit-300 - Power Cycle '!Tank_Material</vt:lpstr>
      <vt:lpstr>'Unit-400 - WGS'!Tank_Material</vt:lpstr>
      <vt:lpstr>'Unit-500 - H2 Production'!Tank_Material</vt:lpstr>
      <vt:lpstr>'Unit-600 - CO2 CPU'!Tank_Material</vt:lpstr>
      <vt:lpstr>'Unit-700 - CWT'!Tank_Material</vt:lpstr>
      <vt:lpstr>'Unit-100 - NG Pre-treating'!test</vt:lpstr>
      <vt:lpstr>'Unit-200 - GSR'!test</vt:lpstr>
      <vt:lpstr>'Unit-300 - Power Cycle '!test</vt:lpstr>
      <vt:lpstr>'Unit-400 - WGS'!test</vt:lpstr>
      <vt:lpstr>'Unit-500 - H2 Production'!test</vt:lpstr>
      <vt:lpstr>'Unit-600 - CO2 CPU'!test</vt:lpstr>
      <vt:lpstr>'Unit-100 - NG Pre-treating'!TowerPacking</vt:lpstr>
      <vt:lpstr>'Unit-200 - GSR'!TowerPacking</vt:lpstr>
      <vt:lpstr>'Unit-300 - Power Cycle '!TowerPacking</vt:lpstr>
      <vt:lpstr>'Unit-400 - WGS'!TowerPacking</vt:lpstr>
      <vt:lpstr>'Unit-500 - H2 Production'!TowerPacking</vt:lpstr>
      <vt:lpstr>'Unit-600 - CO2 CPU'!TowerPacking</vt:lpstr>
      <vt:lpstr>'Unit-700 - CWT'!TowerPacking</vt:lpstr>
      <vt:lpstr>'Unit-100 - NG Pre-treating'!TowerPacking_Material</vt:lpstr>
      <vt:lpstr>'Unit-200 - GSR'!TowerPacking_Material</vt:lpstr>
      <vt:lpstr>'Unit-300 - Power Cycle '!TowerPacking_Material</vt:lpstr>
      <vt:lpstr>'Unit-400 - WGS'!TowerPacking_Material</vt:lpstr>
      <vt:lpstr>'Unit-500 - H2 Production'!TowerPacking_Material</vt:lpstr>
      <vt:lpstr>'Unit-600 - CO2 CPU'!TowerPacking_Material</vt:lpstr>
      <vt:lpstr>'Unit-700 - CWT'!TowerPacking_Material</vt:lpstr>
      <vt:lpstr>'Unit-100 - NG Pre-treating'!TowerTrays</vt:lpstr>
      <vt:lpstr>'Unit-200 - GSR'!TowerTrays</vt:lpstr>
      <vt:lpstr>'Unit-300 - Power Cycle '!TowerTrays</vt:lpstr>
      <vt:lpstr>'Unit-400 - WGS'!TowerTrays</vt:lpstr>
      <vt:lpstr>'Unit-500 - H2 Production'!TowerTrays</vt:lpstr>
      <vt:lpstr>'Unit-600 - CO2 CPU'!TowerTrays</vt:lpstr>
      <vt:lpstr>'Unit-700 - CWT'!TowerTrays</vt:lpstr>
      <vt:lpstr>'Unit-100 - NG Pre-treating'!TowerTrays_Material</vt:lpstr>
      <vt:lpstr>'Unit-200 - GSR'!TowerTrays_Material</vt:lpstr>
      <vt:lpstr>'Unit-300 - Power Cycle '!TowerTrays_Material</vt:lpstr>
      <vt:lpstr>'Unit-400 - WGS'!TowerTrays_Material</vt:lpstr>
      <vt:lpstr>'Unit-500 - H2 Production'!TowerTrays_Material</vt:lpstr>
      <vt:lpstr>'Unit-600 - CO2 CPU'!TowerTrays_Material</vt:lpstr>
      <vt:lpstr>'Unit-700 - CWT'!TowerTrays_Material</vt:lpstr>
      <vt:lpstr>'Unit-100 - NG Pre-treating'!Turbine</vt:lpstr>
      <vt:lpstr>'Unit-200 - GSR'!Turbine</vt:lpstr>
      <vt:lpstr>'Unit-300 - Power Cycle '!Turbine</vt:lpstr>
      <vt:lpstr>'Unit-400 - WGS'!Turbine</vt:lpstr>
      <vt:lpstr>'Unit-500 - H2 Production'!Turbine</vt:lpstr>
      <vt:lpstr>'Unit-600 - CO2 CPU'!Turbine</vt:lpstr>
      <vt:lpstr>'Unit-700 - CWT'!Turbine</vt:lpstr>
      <vt:lpstr>'Unit-100 - NG Pre-treating'!Turbine_Material</vt:lpstr>
      <vt:lpstr>'Unit-200 - GSR'!Turbine_Material</vt:lpstr>
      <vt:lpstr>'Unit-300 - Power Cycle '!Turbine_Material</vt:lpstr>
      <vt:lpstr>'Unit-400 - WGS'!Turbine_Material</vt:lpstr>
      <vt:lpstr>'Unit-500 - H2 Production'!Turbine_Material</vt:lpstr>
      <vt:lpstr>'Unit-600 - CO2 CPU'!Turbine_Material</vt:lpstr>
      <vt:lpstr>'Unit-700 - CWT'!Turbine_Material</vt:lpstr>
      <vt:lpstr>'Unit-100 - NG Pre-treating'!Vaporizer</vt:lpstr>
      <vt:lpstr>'Unit-200 - GSR'!Vaporizer</vt:lpstr>
      <vt:lpstr>'Unit-300 - Power Cycle '!Vaporizer</vt:lpstr>
      <vt:lpstr>'Unit-400 - WGS'!Vaporizer</vt:lpstr>
      <vt:lpstr>'Unit-500 - H2 Production'!Vaporizer</vt:lpstr>
      <vt:lpstr>'Unit-600 - CO2 CPU'!Vaporizer</vt:lpstr>
      <vt:lpstr>'Unit-700 - CWT'!Vaporizer</vt:lpstr>
      <vt:lpstr>'Unit-100 - NG Pre-treating'!Vaporizer_Material</vt:lpstr>
      <vt:lpstr>'Unit-200 - GSR'!Vaporizer_Material</vt:lpstr>
      <vt:lpstr>'Unit-300 - Power Cycle '!Vaporizer_Material</vt:lpstr>
      <vt:lpstr>'Unit-400 - WGS'!Vaporizer_Material</vt:lpstr>
      <vt:lpstr>'Unit-500 - H2 Production'!Vaporizer_Material</vt:lpstr>
      <vt:lpstr>'Unit-600 - CO2 CPU'!Vaporizer_Material</vt:lpstr>
      <vt:lpstr>'Unit-700 - CWT'!Vaporizer_Material</vt:lpstr>
      <vt:lpstr>'Unit-100 - NG Pre-treating'!Vessel</vt:lpstr>
      <vt:lpstr>'Unit-200 - GSR'!Vessel</vt:lpstr>
      <vt:lpstr>'Unit-300 - Power Cycle '!Vessel</vt:lpstr>
      <vt:lpstr>'Unit-400 - WGS'!Vessel</vt:lpstr>
      <vt:lpstr>'Unit-500 - H2 Production'!Vessel</vt:lpstr>
      <vt:lpstr>'Unit-600 - CO2 CPU'!Vessel</vt:lpstr>
      <vt:lpstr>'Unit-700 - CWT'!Vessel</vt:lpstr>
      <vt:lpstr>'Unit-100 - NG Pre-treating'!Vessel_Material</vt:lpstr>
      <vt:lpstr>'Unit-200 - GSR'!Vessel_Material</vt:lpstr>
      <vt:lpstr>'Unit-300 - Power Cycle '!Vessel_Material</vt:lpstr>
      <vt:lpstr>'Unit-400 - WGS'!Vessel_Material</vt:lpstr>
      <vt:lpstr>'Unit-500 - H2 Production'!Vessel_Material</vt:lpstr>
      <vt:lpstr>'Unit-600 - CO2 CPU'!Vessel_Material</vt:lpstr>
      <vt:lpstr>'Unit-700 - CWT'!Vessel_Material</vt:lpstr>
      <vt:lpstr>'Cash Flow Analysis'!Year</vt:lpstr>
      <vt:lpstr>'Estimate Benchmark'!Year</vt:lpstr>
      <vt:lpstr>'Plant Overview'!Year</vt:lpstr>
      <vt:lpstr>'Unit-100 - NG Pre-treating'!Year</vt:lpstr>
      <vt:lpstr>'Unit-200 - GSR'!Year</vt:lpstr>
      <vt:lpstr>'Unit-300 - Power Cycle '!Year</vt:lpstr>
      <vt:lpstr>'Unit-400 - WGS'!Year</vt:lpstr>
      <vt:lpstr>'Unit-500 - H2 Production'!Year</vt:lpstr>
      <vt:lpstr>'Unit-600 - CO2 CPU'!Year</vt:lpstr>
      <vt:lpstr>'Unit-700 - CWT'!Year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2021-10-20T11:49:44Z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