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0.xml" ContentType="application/vnd.openxmlformats-officedocument.themeOverrid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1.xml" ContentType="application/vnd.openxmlformats-officedocument.themeOverride+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29.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trlProps/ctrlProp41.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D7711B47-CAA0-414C-A286-8F369BBD74C4}" xr6:coauthVersionLast="47" xr6:coauthVersionMax="47" xr10:uidLastSave="{00000000-0000-0000-0000-000000000000}"/>
  <bookViews>
    <workbookView xWindow="-108" yWindow="-108" windowWidth="23256" windowHeight="13176" tabRatio="825" firstSheet="4" activeTab="11"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2" i="84" l="1"/>
  <c r="P42" i="84"/>
  <c r="S17" i="16"/>
  <c r="L16" i="16"/>
  <c r="P43" i="84"/>
  <c r="R43" i="84" s="1"/>
  <c r="Q43" i="84"/>
  <c r="S43" i="84" s="1"/>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M16" i="102" l="1"/>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S54" i="105"/>
  <c r="W34" i="105"/>
  <c r="O3" i="105"/>
  <c r="W34" i="104"/>
  <c r="O3" i="104"/>
  <c r="W34" i="103"/>
  <c r="O3" i="103"/>
  <c r="S54" i="102"/>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3" s="1"/>
  <c r="R53" i="102"/>
  <c r="R53" i="105"/>
  <c r="R53" i="104"/>
  <c r="M14" i="101"/>
  <c r="Q14" i="101" s="1"/>
  <c r="S14" i="101" s="1"/>
  <c r="R51" i="101" s="1"/>
  <c r="J15" i="101"/>
  <c r="F16" i="101"/>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F44" i="84" l="1"/>
  <c r="F43" i="84"/>
  <c r="E28" i="81"/>
  <c r="I48" i="81" s="1"/>
  <c r="F60" i="81"/>
  <c r="E27" i="81"/>
  <c r="I47" i="81" s="1"/>
  <c r="F59" i="81"/>
  <c r="Q47" i="80"/>
  <c r="R47" i="80" s="1"/>
  <c r="L13" i="80"/>
  <c r="N13" i="80" s="1"/>
  <c r="P13" i="80" s="1"/>
  <c r="F13" i="80"/>
  <c r="E20" i="84"/>
  <c r="E6" i="84"/>
  <c r="D6" i="84"/>
  <c r="J24" i="83"/>
  <c r="AE3" i="81"/>
  <c r="O3" i="81"/>
  <c r="O34" i="81"/>
  <c r="K4" i="5"/>
  <c r="Q9" i="16"/>
  <c r="H14" i="84"/>
  <c r="P41" i="84" s="1"/>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13" i="30" a="1"/>
  <c r="D20" i="30" a="1"/>
  <c r="H9" i="30" a="1"/>
  <c r="D25" i="30" a="1"/>
  <c r="D28" i="30" a="1"/>
  <c r="D31" i="30" a="1"/>
  <c r="H11" i="30" a="1"/>
  <c r="H8" i="30" a="1"/>
  <c r="H22" i="30" a="1"/>
  <c r="H10" i="30" a="1"/>
  <c r="D9" i="30" a="1"/>
  <c r="H14" i="30" a="1"/>
  <c r="D47" i="30" a="1"/>
  <c r="D8" i="30" a="1"/>
  <c r="H16" i="30" a="1"/>
  <c r="D4" i="30" a="1"/>
  <c r="D16" i="30" a="1"/>
  <c r="D37" i="30" a="1"/>
  <c r="H12" i="30" a="1"/>
  <c r="D34" i="30" a="1"/>
  <c r="D40" i="30" a="1"/>
  <c r="D7" i="30" a="1"/>
  <c r="H5" i="30" a="1"/>
  <c r="D42" i="30" a="1"/>
  <c r="D48" i="30" a="1"/>
  <c r="D33" i="30" a="1"/>
  <c r="D44" i="30" a="1"/>
  <c r="D26" i="30" a="1"/>
  <c r="H13" i="30" a="1"/>
  <c r="H3" i="30" a="1"/>
  <c r="D36" i="30" a="1"/>
  <c r="D45" i="30" a="1"/>
  <c r="D18" i="30" a="1"/>
  <c r="D27" i="30" a="1"/>
  <c r="D19" i="30" a="1"/>
  <c r="D30" i="30" a="1"/>
  <c r="D46" i="30" a="1"/>
  <c r="D5" i="30" a="1"/>
  <c r="H17" i="30" a="1"/>
  <c r="D12" i="30" a="1"/>
  <c r="H18" i="30" a="1"/>
  <c r="D24" i="30" a="1"/>
  <c r="D11" i="30" a="1"/>
  <c r="D15" i="30" a="1"/>
  <c r="H6" i="30" a="1"/>
  <c r="D3" i="30" a="1"/>
  <c r="H20" i="30" a="1"/>
  <c r="D6" i="30" a="1"/>
  <c r="D10" i="30" a="1"/>
  <c r="D29" i="30" a="1"/>
  <c r="D43" i="30" a="1"/>
  <c r="D14" i="30" a="1"/>
  <c r="D23" i="30" a="1"/>
  <c r="D38" i="30" a="1"/>
  <c r="D22" i="30" a="1"/>
  <c r="H4" i="30" a="1"/>
  <c r="D35" i="30" a="1"/>
  <c r="D17" i="30" a="1"/>
  <c r="D39" i="30" a="1"/>
  <c r="H7" i="30" a="1"/>
  <c r="D41" i="30" a="1"/>
  <c r="H19" i="30" a="1"/>
  <c r="H21" i="30" a="1"/>
  <c r="H15" i="30" a="1"/>
  <c r="D32" i="30" a="1"/>
  <c r="D21"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53" i="101" a="1"/>
  <c r="R13" i="83" a="1"/>
  <c r="S47" i="80" a="1"/>
  <c r="S53" i="102" a="1"/>
  <c r="S48" i="103" a="1"/>
  <c r="S46" i="103" a="1"/>
  <c r="S51" i="104" a="1"/>
  <c r="S53" i="104" a="1"/>
  <c r="S50" i="104" a="1"/>
  <c r="S53" i="105" a="1"/>
  <c r="S13" i="107" a="1"/>
  <c r="S46" i="101" a="1"/>
  <c r="S50" i="105" a="1"/>
  <c r="S50" i="102" a="1"/>
  <c r="S51" i="80" a="1"/>
  <c r="S51" i="101" a="1"/>
  <c r="S50" i="101" a="1"/>
  <c r="S51" i="102" a="1"/>
  <c r="S49" i="80" a="1"/>
  <c r="S46" i="80" a="1"/>
  <c r="S53" i="103" a="1"/>
  <c r="S50" i="103" a="1"/>
  <c r="S51" i="103" a="1"/>
  <c r="S47" i="103" a="1"/>
  <c r="S53" i="80" a="1"/>
  <c r="S46" i="104" a="1"/>
  <c r="S50" i="80" a="1"/>
  <c r="S49" i="103" a="1"/>
  <c r="S51" i="105" a="1"/>
  <c r="R14" i="83" a="1"/>
  <c r="S48" i="80" a="1"/>
  <c r="S47" i="101"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F6" i="5" s="1"/>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8" i="5"/>
  <c r="S54" i="103"/>
  <c r="G6" i="5" s="1"/>
  <c r="G7" i="5" s="1"/>
  <c r="S54" i="101"/>
  <c r="D6" i="5" s="1"/>
  <c r="S54" i="80"/>
  <c r="E6" i="5" s="1"/>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8" i="5"/>
  <c r="I7" i="5"/>
  <c r="I8" i="5"/>
  <c r="H8" i="5"/>
  <c r="F7" i="5"/>
  <c r="F9" i="5" s="1"/>
  <c r="F10" i="5" s="1"/>
  <c r="F11" i="5" s="1"/>
  <c r="F12" i="5" s="1"/>
  <c r="F13" i="5" s="1"/>
  <c r="F14" i="5" s="1"/>
  <c r="D8" i="5"/>
  <c r="D9" i="5" l="1"/>
  <c r="J12" i="5"/>
  <c r="J13" i="5" s="1"/>
  <c r="J14" i="5" s="1"/>
  <c r="E7" i="5"/>
  <c r="E9" i="5" s="1"/>
  <c r="E10" i="5" s="1"/>
  <c r="E11" i="5" s="1"/>
  <c r="E12" i="5" s="1"/>
  <c r="E13" i="5" s="1"/>
  <c r="E14" i="5" s="1"/>
  <c r="I9" i="5"/>
  <c r="I10" i="5" s="1"/>
  <c r="I11" i="5" s="1"/>
  <c r="H9" i="5"/>
  <c r="H10" i="5" s="1"/>
  <c r="H11" i="5" s="1"/>
  <c r="H12" i="5" s="1"/>
  <c r="D10" i="5" l="1"/>
  <c r="H13" i="5"/>
  <c r="I12" i="5"/>
  <c r="I13" i="5" s="1"/>
  <c r="I14" i="5" s="1"/>
  <c r="U16" i="16"/>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D13" i="5" l="1"/>
  <c r="O105" i="18"/>
  <c r="O61" i="18"/>
  <c r="Q61" i="18" s="1"/>
  <c r="N102" i="18"/>
  <c r="P102" i="18" s="1"/>
  <c r="C8" i="110" l="1"/>
  <c r="D14" i="5"/>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Y30" i="84"/>
  <c r="AI30" i="84"/>
  <c r="AF30" i="84"/>
  <c r="I30" i="84"/>
  <c r="P30" i="84"/>
  <c r="H30" i="84"/>
  <c r="AH30" i="84"/>
  <c r="K30" i="84"/>
  <c r="X30" i="84"/>
  <c r="V30" i="84"/>
  <c r="U30" i="84"/>
  <c r="W30" i="84"/>
  <c r="J30" i="84"/>
  <c r="AJ30" i="84"/>
  <c r="AA30" i="84"/>
  <c r="Z30" i="84"/>
  <c r="N30" i="84"/>
  <c r="G30" i="84"/>
  <c r="AG30" i="84"/>
  <c r="S30" i="84"/>
  <c r="AD30" i="84"/>
  <c r="AB30" i="84"/>
  <c r="AC30" i="84"/>
  <c r="AE30" i="84"/>
  <c r="R30" i="84"/>
  <c r="L30" i="84"/>
  <c r="O30" i="84"/>
  <c r="T30" i="84"/>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35" i="5" l="1"/>
  <c r="D7" i="84" l="1"/>
  <c r="F29" i="84" s="1"/>
  <c r="F35" i="84" s="1"/>
  <c r="F37" i="84" l="1"/>
  <c r="E29" i="84"/>
  <c r="E35" i="84" s="1"/>
  <c r="E37" i="84" s="1"/>
  <c r="C29" i="84"/>
  <c r="D29" i="84"/>
  <c r="D35" i="84" s="1"/>
  <c r="H17" i="84" l="1"/>
  <c r="D37" i="84"/>
  <c r="C35" i="84"/>
  <c r="C37" i="84" l="1"/>
  <c r="C38" i="84" l="1"/>
  <c r="D34" i="5"/>
  <c r="C39" i="84" l="1"/>
  <c r="D39" i="84" s="1"/>
  <c r="E39" i="84" s="1"/>
  <c r="F39" i="84" s="1"/>
  <c r="D38" i="84"/>
  <c r="E38" i="84" s="1"/>
  <c r="F38" i="84" l="1"/>
  <c r="I7" i="84" l="1"/>
  <c r="I10" i="84" a="1"/>
  <c r="I10" i="84" s="1"/>
  <c r="U17" i="16" l="1"/>
  <c r="U25" i="16" s="1"/>
  <c r="D11" i="84" l="1"/>
  <c r="C10" i="110"/>
  <c r="K34" i="84" l="1"/>
  <c r="AF34" i="84"/>
  <c r="Y34" i="84"/>
  <c r="U34" i="84"/>
  <c r="V34" i="84"/>
  <c r="P34" i="84"/>
  <c r="AN34" i="84"/>
  <c r="AS34" i="84"/>
  <c r="AH34" i="84"/>
  <c r="AA34" i="84"/>
  <c r="AM34" i="84"/>
  <c r="AI34" i="84"/>
  <c r="AJ34" i="84"/>
  <c r="N34" i="84"/>
  <c r="S34" i="84"/>
  <c r="L34" i="84"/>
  <c r="AT34" i="84"/>
  <c r="AE34" i="84"/>
  <c r="Q34" i="84"/>
  <c r="R34" i="84"/>
  <c r="H34" i="84"/>
  <c r="AG34" i="84"/>
  <c r="G34" i="84"/>
  <c r="AB34" i="84"/>
  <c r="I34" i="84"/>
  <c r="AK34" i="84"/>
  <c r="M34" i="84"/>
  <c r="AR34" i="84"/>
  <c r="AL34" i="84"/>
  <c r="O34" i="84"/>
  <c r="T34" i="84"/>
  <c r="AP34" i="84"/>
  <c r="X34" i="84"/>
  <c r="J34" i="84"/>
  <c r="AD34" i="84"/>
  <c r="Z34" i="84"/>
  <c r="AO34" i="84"/>
  <c r="AQ34" i="84"/>
  <c r="AC34" i="84"/>
  <c r="W34" i="84"/>
  <c r="N16" i="16"/>
  <c r="D9" i="84" s="1"/>
  <c r="H19" i="84" l="1"/>
  <c r="AR31" i="84"/>
  <c r="AR35" i="84" s="1"/>
  <c r="AR37" i="84" s="1"/>
  <c r="R31" i="84"/>
  <c r="R35" i="84" s="1"/>
  <c r="AN31" i="84"/>
  <c r="AN35" i="84" s="1"/>
  <c r="AN37" i="84" s="1"/>
  <c r="M31" i="84"/>
  <c r="M35" i="84" s="1"/>
  <c r="P31" i="84"/>
  <c r="P35" i="84" s="1"/>
  <c r="N31" i="84"/>
  <c r="N35" i="84" s="1"/>
  <c r="K31" i="84"/>
  <c r="K35" i="84" s="1"/>
  <c r="X31" i="84"/>
  <c r="X35" i="84" s="1"/>
  <c r="AH31" i="84"/>
  <c r="AH35" i="84" s="1"/>
  <c r="AG31" i="84"/>
  <c r="AG35" i="84" s="1"/>
  <c r="G31" i="84"/>
  <c r="AA31" i="84"/>
  <c r="AA35" i="84" s="1"/>
  <c r="AP31" i="84"/>
  <c r="AP35" i="84" s="1"/>
  <c r="AP37" i="84" s="1"/>
  <c r="Z31" i="84"/>
  <c r="Z35" i="84" s="1"/>
  <c r="AM31" i="84"/>
  <c r="AM35" i="84" s="1"/>
  <c r="AM37" i="84" s="1"/>
  <c r="AD31" i="84"/>
  <c r="AD35" i="84" s="1"/>
  <c r="W31" i="84"/>
  <c r="W35" i="84" s="1"/>
  <c r="O31" i="84"/>
  <c r="O35" i="84" s="1"/>
  <c r="AJ31" i="84"/>
  <c r="AJ35" i="84" s="1"/>
  <c r="AQ31" i="84"/>
  <c r="AQ35" i="84" s="1"/>
  <c r="AQ37" i="84" s="1"/>
  <c r="AK31" i="84"/>
  <c r="AK35" i="84" s="1"/>
  <c r="AK37" i="84" s="1"/>
  <c r="AL31" i="84"/>
  <c r="AL35" i="84" s="1"/>
  <c r="AL37" i="84" s="1"/>
  <c r="H31" i="84"/>
  <c r="H35" i="84" s="1"/>
  <c r="AI31" i="84"/>
  <c r="AI35" i="84" s="1"/>
  <c r="AO31" i="84"/>
  <c r="AO35" i="84" s="1"/>
  <c r="AO37" i="84" s="1"/>
  <c r="Y31" i="84"/>
  <c r="Y35" i="84" s="1"/>
  <c r="AC31" i="84"/>
  <c r="AC35" i="84" s="1"/>
  <c r="AF31" i="84"/>
  <c r="AF35" i="84" s="1"/>
  <c r="I31" i="84"/>
  <c r="I35" i="84" s="1"/>
  <c r="Q31" i="84"/>
  <c r="Q35" i="84" s="1"/>
  <c r="S31" i="84"/>
  <c r="S35" i="84" s="1"/>
  <c r="AB31" i="84"/>
  <c r="AB35" i="84" s="1"/>
  <c r="AE31" i="84"/>
  <c r="AE35" i="84" s="1"/>
  <c r="AS31" i="84"/>
  <c r="AS35" i="84" s="1"/>
  <c r="AS37" i="84" s="1"/>
  <c r="AT31" i="84"/>
  <c r="AT35" i="84" s="1"/>
  <c r="AT37" i="84" s="1"/>
  <c r="L31" i="84"/>
  <c r="L35" i="84" s="1"/>
  <c r="U31" i="84"/>
  <c r="U35" i="84" s="1"/>
  <c r="J31" i="84"/>
  <c r="J35" i="84" s="1"/>
  <c r="T31" i="84"/>
  <c r="T35" i="84" s="1"/>
  <c r="V31" i="84"/>
  <c r="V35" i="84" s="1"/>
  <c r="V37" i="84" l="1"/>
  <c r="H37" i="84"/>
  <c r="K37" i="84"/>
  <c r="T37" i="84"/>
  <c r="Z37" i="84"/>
  <c r="N37" i="84"/>
  <c r="AD37" i="84"/>
  <c r="I37" i="84"/>
  <c r="P37" i="84"/>
  <c r="S37" i="84"/>
  <c r="U37" i="84"/>
  <c r="AF37" i="84"/>
  <c r="AA37" i="84"/>
  <c r="M37" i="84"/>
  <c r="AB37" i="84"/>
  <c r="Q37" i="84"/>
  <c r="AC37" i="84"/>
  <c r="AJ37" i="84"/>
  <c r="G35" i="84"/>
  <c r="X37" i="84"/>
  <c r="J37" i="84"/>
  <c r="L37" i="84"/>
  <c r="Y37" i="84"/>
  <c r="O37" i="84"/>
  <c r="AG37" i="84"/>
  <c r="R37" i="84"/>
  <c r="AI37" i="84"/>
  <c r="AE37" i="84"/>
  <c r="W37" i="84"/>
  <c r="AH37" i="84"/>
  <c r="G37" i="84" l="1"/>
  <c r="G38" i="84"/>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H20" i="84"/>
  <c r="G39" i="84"/>
  <c r="H39" i="84" s="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AF39" i="84" s="1"/>
  <c r="AG39" i="84" s="1"/>
  <c r="AH39" i="84" s="1"/>
  <c r="AI39" i="84" s="1"/>
  <c r="AJ39" i="84" s="1"/>
  <c r="D22" i="84" s="1"/>
  <c r="H22" i="84"/>
  <c r="H21" i="84"/>
  <c r="H16" i="84" l="1"/>
  <c r="I9" i="84"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N41" authorId="0" shapeId="0" xr:uid="{6F3E76CB-5434-40C6-BF2B-7400D0CDEE91}">
      <text>
        <r>
          <rPr>
            <b/>
            <sz val="9"/>
            <color indexed="81"/>
            <rFont val="Tahoma"/>
            <family val="2"/>
          </rPr>
          <t>Carlos Arnaiz del Pozo:</t>
        </r>
        <r>
          <rPr>
            <sz val="9"/>
            <color indexed="81"/>
            <rFont val="Tahoma"/>
            <family val="2"/>
          </rPr>
          <t xml:space="preserve">
Eliminating rows linked to the spreadsheet will break references</t>
        </r>
      </text>
    </comment>
    <comment ref="F42" authorId="0" shapeId="0" xr:uid="{F2F14BBA-09AB-4FC9-B036-AE9EE1A6D7D2}">
      <text>
        <r>
          <rPr>
            <b/>
            <sz val="9"/>
            <color indexed="81"/>
            <rFont val="Tahoma"/>
            <family val="2"/>
          </rPr>
          <t>Carlos Arnaiz del Pozo:</t>
        </r>
        <r>
          <rPr>
            <sz val="9"/>
            <color indexed="81"/>
            <rFont val="Tahoma"/>
            <family val="2"/>
          </rPr>
          <t xml:space="preserve">
Import value from Ind. Var. Cell in sheet</t>
        </r>
      </text>
    </comment>
    <comment ref="G42" authorId="0" shapeId="0" xr:uid="{91436F4A-3D94-4B0C-A254-8D5EC3D20DD1}">
      <text>
        <r>
          <rPr>
            <b/>
            <sz val="9"/>
            <color indexed="81"/>
            <rFont val="Tahoma"/>
            <family val="2"/>
          </rPr>
          <t>Carlos Arnaiz del Pozo:</t>
        </r>
        <r>
          <rPr>
            <sz val="9"/>
            <color indexed="81"/>
            <rFont val="Tahoma"/>
            <family val="2"/>
          </rPr>
          <t xml:space="preserve">
Export to Man. Var. Cell in 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<sst xmlns="http://schemas.openxmlformats.org/spreadsheetml/2006/main" count="3420" uniqueCount="1110">
  <si>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</si>
  <si>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</si>
  <si>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</si>
  <si>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</si>
  <si>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</si>
  <si>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</si>
  <si>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</si>
  <si>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</si>
  <si>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</si>
  <si>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</si>
  <si>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</si>
  <si>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</si>
  <si>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</si>
  <si>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</si>
  <si>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</si>
  <si>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</si>
  <si>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</si>
  <si>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</si>
  <si>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</si>
  <si>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</si>
  <si>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</si>
  <si>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</si>
  <si>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</si>
  <si>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</si>
  <si>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</si>
  <si>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</si>
  <si>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</si>
  <si>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</si>
  <si>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</si>
  <si>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</si>
  <si>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</si>
  <si>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</si>
  <si>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</si>
  <si>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</si>
  <si>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</si>
  <si>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</si>
  <si>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</si>
  <si>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</si>
  <si>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</si>
  <si>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</si>
  <si>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</si>
  <si>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</si>
  <si>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</si>
  <si>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</si>
  <si>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</si>
  <si>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</si>
  <si>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</si>
  <si>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</si>
  <si>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</si>
  <si>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</si>
  <si>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</si>
  <si>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</si>
  <si>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</si>
  <si>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</si>
  <si>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</si>
  <si>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</si>
  <si>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</si>
  <si>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</si>
  <si>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</si>
  <si>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</si>
  <si>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</si>
  <si>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</si>
  <si>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</si>
  <si>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</si>
  <si>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</si>
  <si>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</si>
  <si>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</si>
  <si>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</si>
  <si>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</si>
  <si>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</si>
  <si>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</si>
  <si>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</si>
  <si>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</si>
  <si>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</si>
  <si>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</si>
  <si>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</si>
  <si>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</si>
  <si>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</si>
  <si>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</si>
  <si>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</si>
  <si>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</si>
  <si>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</si>
  <si>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</si>
  <si>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</si>
  <si>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</si>
  <si>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</si>
  <si>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</si>
  <si>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</si>
  <si>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</si>
  <si>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</si>
  <si>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</si>
  <si>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</si>
  <si>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</si>
  <si>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</si>
  <si>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</si>
  <si>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</si>
  <si>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</si>
  <si>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</si>
  <si>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</si>
  <si>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</si>
  <si>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</si>
  <si>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</si>
  <si>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</si>
  <si>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</si>
  <si>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</si>
  <si>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</si>
  <si>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</si>
  <si>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</si>
  <si>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</si>
  <si>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</si>
  <si>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</si>
  <si>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</si>
  <si>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</si>
  <si>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</si>
  <si>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</si>
  <si>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</si>
  <si>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</si>
  <si>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</si>
  <si>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</si>
  <si>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</si>
  <si>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</si>
  <si>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</si>
  <si>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</si>
  <si>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</si>
  <si>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</si>
  <si>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</si>
  <si>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</si>
  <si>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</si>
  <si>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</si>
  <si>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</si>
  <si>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</si>
  <si>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</si>
  <si>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</si>
  <si>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</si>
  <si>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</si>
  <si>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</si>
  <si>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</si>
  <si>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</si>
  <si>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</si>
  <si>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</si>
  <si>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</si>
  <si>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</si>
  <si>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</si>
  <si>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</si>
  <si>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</si>
  <si>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</si>
  <si>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</si>
  <si>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</si>
  <si>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</si>
  <si>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</si>
  <si>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</si>
  <si>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</si>
  <si>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</si>
  <si>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</si>
  <si>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</si>
  <si>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</si>
  <si>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</si>
  <si>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</si>
  <si>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</si>
  <si>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</si>
  <si>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</si>
  <si>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</si>
  <si>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</si>
  <si>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</si>
  <si>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</si>
  <si>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</si>
  <si>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</si>
  <si>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</si>
  <si>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</si>
  <si>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</si>
  <si>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</si>
  <si>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</si>
  <si>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</si>
  <si>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</si>
  <si>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</si>
  <si>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</si>
  <si>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</si>
  <si>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</si>
  <si>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</si>
  <si>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</si>
  <si>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</si>
  <si>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</si>
  <si>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</si>
  <si>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</si>
  <si>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</si>
  <si>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</si>
  <si>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</si>
  <si>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</si>
  <si>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</si>
  <si>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</si>
  <si>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</si>
  <si>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</si>
  <si>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</si>
  <si>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</si>
  <si>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</si>
  <si>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</si>
  <si>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</si>
  <si>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</si>
  <si>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</si>
  <si>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</si>
  <si>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</si>
  <si>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</si>
  <si>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</si>
  <si>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</si>
  <si>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</si>
  <si>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</si>
  <si>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</si>
  <si>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</si>
  <si>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</si>
  <si>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</si>
  <si>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</si>
  <si>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</si>
  <si>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</si>
  <si>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</si>
  <si>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</si>
  <si>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</si>
  <si>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</si>
  <si>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</si>
  <si>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</si>
  <si>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</si>
  <si>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</si>
  <si>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</si>
  <si>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</si>
  <si>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</si>
  <si>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</si>
  <si>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</si>
  <si>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</si>
  <si>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</si>
  <si>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</si>
  <si>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</si>
  <si>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</si>
  <si>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</si>
  <si>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</si>
  <si>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</si>
  <si>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</si>
  <si>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</si>
  <si>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</si>
  <si>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</si>
  <si>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</si>
  <si>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</si>
  <si>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</si>
  <si>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</si>
  <si>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</si>
  <si>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</si>
  <si>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</si>
  <si>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</si>
  <si>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</si>
  <si>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</si>
  <si>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</si>
  <si>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</si>
  <si>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</si>
  <si>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</si>
  <si>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</si>
  <si>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</si>
  <si>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</si>
  <si>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</si>
  <si>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</si>
  <si>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</si>
  <si>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</si>
  <si>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</si>
  <si>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</si>
  <si>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</si>
  <si>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</si>
  <si>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</si>
  <si>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</si>
  <si>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</si>
  <si>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</si>
  <si>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</si>
  <si>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</si>
  <si>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</si>
  <si>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</si>
  <si>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</si>
  <si>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</si>
  <si>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</si>
  <si>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</si>
  <si>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</si>
  <si>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</si>
  <si>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</si>
  <si>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</si>
  <si>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</si>
  <si>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</si>
  <si>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</si>
  <si>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</si>
  <si>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</si>
  <si>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</si>
  <si>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</si>
  <si>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</si>
  <si>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</si>
  <si>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</si>
  <si>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</si>
  <si>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</si>
  <si>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</si>
  <si>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</si>
  <si>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</si>
  <si>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</si>
  <si>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</si>
  <si>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</si>
  <si>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</si>
  <si>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</si>
  <si>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</si>
  <si>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</si>
  <si>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</si>
  <si>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</si>
  <si>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</si>
  <si>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</si>
  <si>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</si>
  <si>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</si>
  <si>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</si>
  <si>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</si>
  <si>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</si>
  <si>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</si>
  <si>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</si>
  <si>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</si>
  <si>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</si>
  <si>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</si>
  <si>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</si>
  <si>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</si>
  <si>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</si>
  <si>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</si>
  <si>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</si>
  <si>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</si>
  <si>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</si>
  <si>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</si>
  <si>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</si>
  <si>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</si>
  <si>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</si>
  <si>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</si>
  <si>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</si>
  <si>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</si>
  <si>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</si>
  <si>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</si>
  <si>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</si>
  <si>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</si>
  <si>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</si>
  <si>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</si>
  <si>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</si>
  <si>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</si>
  <si>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</si>
  <si>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</si>
  <si>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</si>
  <si>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</si>
  <si>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</si>
  <si>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</si>
  <si>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</si>
  <si>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</si>
  <si>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</si>
  <si>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</si>
  <si>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</si>
  <si>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</si>
  <si>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</si>
  <si>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</si>
  <si>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</si>
  <si>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</si>
  <si>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</si>
  <si>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</si>
  <si>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</si>
  <si>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</si>
  <si>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</si>
  <si>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</si>
  <si>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</si>
  <si>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</si>
  <si>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</si>
  <si>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</si>
  <si>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</si>
  <si>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</si>
  <si>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</si>
  <si>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</si>
  <si>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</si>
  <si>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</si>
  <si>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</si>
  <si>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</si>
  <si>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</si>
  <si>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</si>
  <si>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</si>
  <si>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</si>
  <si>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</si>
  <si>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</si>
  <si>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</si>
  <si>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</si>
  <si>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</si>
  <si>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</si>
  <si>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</si>
  <si>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</si>
  <si>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</si>
  <si>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</si>
  <si>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</si>
  <si>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</si>
  <si>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</si>
  <si>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</si>
  <si>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</si>
  <si>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</si>
  <si>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</si>
  <si>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</si>
  <si>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</si>
  <si>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</si>
  <si>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</si>
  <si>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</si>
  <si>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</si>
  <si>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</si>
  <si>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</si>
  <si>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</si>
  <si>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</si>
  <si>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</si>
  <si>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</si>
  <si>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</si>
  <si>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</si>
  <si>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</si>
  <si>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</si>
  <si>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</si>
  <si>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</si>
  <si>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</si>
  <si>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</si>
  <si>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</si>
  <si>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</si>
  <si>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</si>
  <si>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</si>
  <si>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</si>
  <si>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</si>
  <si>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</si>
  <si>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</si>
  <si>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</si>
  <si>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</si>
  <si>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</si>
  <si>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</si>
  <si>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</si>
  <si>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</si>
  <si>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</si>
  <si>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</si>
  <si>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</si>
  <si>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</si>
  <si>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</si>
  <si>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</si>
  <si>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</si>
  <si>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</si>
  <si>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</si>
  <si>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</si>
  <si>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</si>
  <si>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</si>
  <si>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</si>
  <si>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</si>
  <si>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</si>
  <si>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</si>
  <si>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</si>
  <si>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</si>
  <si>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</si>
  <si>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</si>
  <si>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</si>
  <si>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</si>
  <si>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</si>
  <si>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</si>
  <si>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</si>
  <si>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</si>
  <si>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</si>
  <si>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</si>
  <si>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</si>
  <si>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</si>
  <si>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</si>
  <si>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</si>
  <si>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</si>
  <si>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</si>
  <si>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</si>
  <si>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</si>
  <si>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</si>
  <si>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</si>
  <si>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</si>
  <si>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</si>
  <si>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</si>
  <si>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</si>
  <si>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</si>
  <si>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</si>
  <si>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</si>
  <si>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</si>
  <si>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</si>
  <si>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</si>
  <si>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</si>
  <si>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</si>
  <si>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</si>
  <si>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</si>
  <si>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</si>
  <si>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</si>
  <si>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</si>
  <si>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</si>
  <si>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</si>
  <si>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</si>
  <si>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</si>
  <si>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</si>
  <si>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</si>
  <si>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</si>
  <si>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</si>
  <si>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</si>
  <si>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</si>
  <si>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</si>
  <si>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</si>
  <si>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</si>
  <si>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</si>
  <si>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</si>
  <si>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</si>
  <si>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</si>
  <si>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</si>
  <si>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</si>
  <si>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</si>
  <si>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</si>
  <si>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</si>
  <si>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</si>
  <si>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</si>
  <si>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</si>
  <si>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</si>
  <si>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</si>
  <si>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</si>
  <si>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</si>
  <si>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</si>
  <si>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</si>
  <si>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</si>
  <si>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</si>
  <si>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</si>
  <si>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</si>
  <si>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</si>
  <si>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</si>
  <si>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</si>
  <si>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</si>
  <si>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</si>
  <si>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</si>
  <si>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</si>
  <si>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</si>
  <si>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</si>
  <si>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</si>
  <si>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</si>
  <si>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</si>
  <si>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</si>
  <si>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</si>
  <si>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</si>
  <si>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</si>
  <si>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</si>
  <si>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</si>
  <si>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</si>
  <si>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</si>
  <si>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</si>
  <si>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</si>
  <si>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</si>
  <si>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</si>
  <si>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</si>
  <si>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</si>
  <si>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</si>
  <si>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</si>
  <si>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</si>
  <si>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</si>
  <si>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</si>
  <si>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</si>
  <si>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</si>
  <si>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</si>
  <si>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</si>
  <si>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</si>
  <si>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</si>
  <si>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</si>
  <si>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</si>
  <si>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</si>
  <si>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</si>
  <si>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</si>
  <si>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</si>
  <si>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</si>
  <si>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</si>
  <si>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</si>
  <si>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</si>
  <si>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</si>
  <si>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</si>
  <si>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</si>
  <si>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</si>
  <si>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</si>
  <si>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</si>
  <si>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</si>
  <si>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</si>
  <si>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</si>
  <si>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</si>
  <si>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</si>
  <si>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</si>
  <si>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</si>
  <si>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</si>
  <si>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</si>
  <si>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</si>
  <si>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</si>
  <si>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</si>
  <si>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</si>
  <si>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</si>
  <si>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</si>
  <si>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</si>
  <si>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</si>
  <si>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</si>
  <si>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</si>
  <si>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</si>
  <si>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</si>
  <si>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</si>
  <si>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</si>
  <si>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</si>
  <si>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</si>
  <si>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</si>
  <si>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</si>
  <si>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</si>
  <si>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</si>
  <si>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</si>
  <si>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</si>
  <si>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</si>
  <si>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</si>
  <si>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</si>
  <si>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</si>
  <si>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</si>
  <si>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</si>
  <si>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</si>
  <si>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</si>
  <si>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</si>
  <si>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</si>
  <si>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</si>
  <si>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</si>
  <si>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</si>
  <si>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</si>
  <si>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</si>
  <si>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</si>
  <si>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</si>
  <si>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</si>
  <si>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</si>
  <si>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</si>
  <si>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</si>
  <si>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</si>
  <si>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</si>
  <si>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</si>
  <si>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</si>
  <si>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</si>
  <si>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</si>
  <si>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</si>
  <si>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</si>
  <si>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</si>
  <si>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</si>
  <si>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</si>
  <si>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</si>
  <si>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</si>
  <si>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</si>
  <si>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</si>
  <si>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</si>
  <si>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</si>
  <si>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</si>
  <si>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</si>
  <si>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</si>
  <si>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</si>
  <si>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</si>
  <si>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</si>
  <si>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</si>
  <si>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</si>
  <si>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</si>
  <si>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</si>
  <si>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</si>
  <si>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</si>
  <si>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</si>
  <si>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</si>
  <si>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</si>
  <si>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</si>
  <si>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</si>
  <si>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</si>
  <si>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</si>
  <si>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</si>
  <si>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</si>
  <si>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</si>
  <si>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</si>
  <si>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</si>
  <si>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</si>
  <si>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</si>
  <si>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</si>
  <si>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</si>
  <si>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</si>
  <si>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</si>
  <si>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</si>
  <si>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</si>
  <si>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</si>
  <si>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</si>
  <si>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</si>
  <si>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</si>
  <si>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</si>
  <si>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</si>
  <si>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</si>
  <si>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</si>
  <si>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</si>
  <si>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</si>
  <si>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</si>
  <si>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</si>
  <si>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</si>
  <si>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</si>
  <si>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</si>
  <si>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</si>
  <si>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</si>
  <si>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</si>
  <si>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</si>
  <si>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</si>
  <si>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</si>
  <si>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</si>
  <si>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</si>
  <si>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</si>
  <si>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</si>
  <si>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</si>
  <si>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</si>
  <si>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</si>
  <si>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</si>
  <si>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</si>
  <si>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</si>
  <si>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</si>
  <si>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</si>
  <si>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</si>
  <si>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</si>
  <si>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</si>
  <si>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</si>
  <si>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</si>
  <si>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</si>
  <si>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</si>
  <si>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</si>
  <si>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</si>
  <si>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</si>
  <si>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</si>
  <si>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</si>
  <si>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</si>
  <si>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</si>
  <si>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</si>
  <si>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</si>
  <si>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</si>
  <si>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</si>
  <si>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</si>
  <si>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</si>
  <si>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</si>
  <si>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</si>
  <si>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</si>
  <si>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</si>
  <si>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</si>
  <si>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</si>
  <si>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</si>
  <si>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</si>
  <si>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</si>
  <si>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</si>
  <si>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</si>
  <si>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</si>
  <si>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</si>
  <si>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</si>
  <si>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</si>
  <si>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</si>
  <si>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</si>
  <si>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</si>
  <si>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</si>
  <si>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</si>
  <si>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</si>
  <si>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</si>
  <si>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</si>
  <si>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</si>
  <si>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</si>
  <si>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</si>
  <si>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</si>
  <si>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</si>
  <si>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</si>
  <si>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</si>
  <si>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</si>
  <si>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</si>
  <si>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</si>
  <si>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</si>
  <si>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</si>
  <si>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</si>
  <si>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</si>
  <si>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</si>
  <si>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</si>
  <si>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</si>
  <si>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</si>
  <si>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</si>
  <si>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</si>
  <si>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</si>
  <si>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</si>
  <si>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</si>
  <si>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</si>
  <si>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</si>
  <si>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</si>
  <si>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</si>
  <si>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</si>
  <si>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</si>
  <si>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</si>
  <si>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</si>
  <si>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</si>
  <si>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</si>
  <si>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</si>
  <si>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</si>
  <si>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</si>
  <si>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</si>
  <si>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</si>
  <si>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</si>
  <si>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</si>
  <si>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</si>
  <si>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</si>
  <si>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</si>
  <si>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</si>
  <si>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</si>
  <si>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</si>
  <si>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</si>
  <si>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</si>
  <si>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</si>
  <si>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</si>
  <si>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</si>
  <si>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</si>
  <si>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</si>
  <si>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</si>
  <si>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</si>
  <si>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</si>
  <si>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</si>
  <si>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</si>
  <si>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</si>
  <si>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</si>
  <si>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</si>
  <si>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</si>
  <si>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</si>
  <si>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</si>
  <si>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</si>
  <si>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</si>
  <si>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</si>
  <si>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</si>
  <si>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</si>
  <si>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</si>
  <si>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</si>
  <si>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</si>
  <si>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</si>
  <si>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</si>
  <si>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</si>
  <si>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</si>
  <si>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</si>
  <si>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</si>
  <si>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</si>
  <si>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</si>
  <si>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</si>
  <si>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</si>
  <si>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</si>
  <si>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</si>
  <si>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</si>
  <si>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</si>
  <si>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</si>
  <si>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</si>
  <si>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</si>
  <si>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</si>
  <si>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</si>
  <si>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</si>
  <si>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</si>
  <si>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</si>
  <si>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</si>
  <si>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</si>
  <si>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</si>
  <si>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</si>
  <si>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</si>
  <si>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</si>
  <si>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</si>
  <si>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</si>
  <si>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</si>
  <si>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</si>
  <si>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</si>
  <si>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</si>
  <si>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</si>
  <si>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</si>
  <si>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</si>
  <si>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</si>
  <si>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</si>
  <si>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</si>
  <si>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</si>
  <si>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</si>
  <si>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</si>
  <si>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</si>
  <si>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</si>
  <si>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</si>
  <si>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</si>
  <si>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</si>
  <si>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</si>
  <si>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</si>
  <si>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</si>
  <si>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</si>
  <si>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</si>
  <si>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</si>
  <si>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</si>
  <si>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</si>
  <si>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</si>
  <si>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</si>
  <si>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</si>
  <si>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</si>
  <si>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</si>
  <si>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</si>
  <si>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</si>
  <si>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</si>
  <si>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</si>
  <si>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</si>
  <si>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</si>
  <si>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</si>
  <si>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</si>
  <si>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</si>
  <si>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</si>
  <si>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</si>
  <si>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</si>
  <si>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</si>
  <si>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</si>
  <si>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</si>
  <si>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</si>
  <si>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</si>
  <si>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</si>
  <si>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</si>
  <si>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</si>
  <si>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</si>
  <si>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</si>
  <si>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</si>
  <si>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</si>
  <si>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</si>
  <si>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</si>
  <si>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</si>
  <si>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</si>
  <si>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</si>
  <si>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</si>
  <si>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</si>
  <si>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</si>
  <si>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</si>
  <si>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</si>
  <si>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</si>
  <si>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</si>
  <si>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</si>
  <si>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</si>
  <si>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</si>
  <si>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</si>
  <si>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</si>
  <si>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</si>
  <si>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</si>
  <si>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</si>
  <si>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</si>
  <si>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</si>
  <si>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</si>
  <si>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</si>
  <si>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</si>
  <si>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</si>
  <si>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</si>
  <si>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</si>
  <si>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</si>
  <si>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</si>
  <si>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</si>
  <si>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</si>
  <si>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</si>
  <si>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</si>
  <si>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</si>
  <si>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</si>
  <si>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</si>
  <si>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</si>
  <si>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</si>
  <si>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</si>
  <si>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</si>
  <si>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</si>
  <si>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</si>
  <si>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</si>
  <si>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</si>
  <si>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</si>
  <si>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</si>
  <si>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</si>
  <si>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</si>
  <si>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</si>
  <si>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</si>
  <si>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</si>
  <si>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</si>
  <si>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</si>
  <si>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</si>
  <si>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</si>
  <si>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</si>
  <si>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</si>
  <si>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</si>
  <si>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</si>
  <si>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</si>
  <si>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</si>
  <si>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</si>
  <si>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</si>
  <si>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</si>
  <si>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</si>
  <si>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</si>
  <si>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</si>
  <si>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</si>
  <si>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</si>
  <si>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</si>
  <si>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</si>
  <si>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</si>
  <si>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</si>
  <si>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</si>
  <si>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</si>
  <si>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</si>
  <si>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</si>
  <si>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</si>
  <si>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</si>
  <si>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</si>
  <si>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</si>
  <si>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</si>
  <si>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</si>
  <si>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</si>
  <si>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</si>
  <si>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</si>
  <si>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</si>
  <si>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</si>
  <si>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</si>
  <si>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</si>
  <si>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</si>
  <si>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</si>
  <si>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</si>
  <si>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</si>
  <si>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</si>
  <si>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</si>
  <si>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</si>
  <si>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</si>
  <si>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</si>
  <si>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</si>
  <si>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</si>
  <si>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</si>
  <si>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</si>
  <si>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</si>
  <si>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</si>
  <si>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</si>
  <si>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</si>
  <si>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</si>
  <si>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</si>
  <si>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</si>
  <si>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</si>
  <si>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</si>
  <si>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</si>
  <si>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</si>
  <si>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</si>
  <si>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</si>
  <si>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</si>
  <si>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</si>
  <si>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</si>
  <si>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</si>
  <si>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</si>
  <si>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</si>
  <si>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</si>
  <si>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</si>
  <si>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</si>
  <si>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</si>
  <si>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</si>
  <si>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</si>
  <si>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</si>
  <si>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</si>
  <si>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</si>
  <si>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</si>
  <si>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</si>
  <si>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</si>
  <si>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</si>
  <si>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</si>
  <si>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</si>
  <si>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</si>
  <si>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</si>
  <si>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</si>
  <si>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</si>
  <si>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</si>
  <si>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</si>
  <si>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</si>
  <si>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</si>
  <si>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</si>
  <si>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</si>
  <si>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</si>
  <si>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</si>
  <si>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</si>
  <si>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</si>
  <si>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</si>
  <si>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</si>
  <si>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</si>
  <si>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</si>
  <si>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</si>
  <si>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</si>
  <si>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</si>
  <si>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</si>
  <si>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</si>
  <si>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</si>
  <si>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</si>
  <si>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</si>
  <si>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</si>
  <si>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</si>
  <si>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</si>
  <si>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</si>
  <si>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</si>
  <si>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</si>
  <si>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</si>
  <si>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</si>
  <si>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</si>
  <si>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</si>
  <si>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</si>
  <si>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</si>
  <si>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</si>
  <si>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</si>
  <si>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</si>
  <si>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</si>
  <si>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</si>
  <si>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</si>
  <si>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</si>
  <si>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</si>
  <si>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</si>
  <si>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</si>
  <si>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</si>
  <si>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</si>
  <si>
    <t>Sensitivity Analysis</t>
  </si>
  <si>
    <t>Ind. Var</t>
  </si>
  <si>
    <t>Man. Var.</t>
  </si>
  <si>
    <t>Ind. Var.</t>
  </si>
  <si>
    <t>Man. Var</t>
  </si>
  <si>
    <t>Base</t>
  </si>
  <si>
    <t>Increment</t>
  </si>
  <si>
    <t>SENSITIVITY</t>
  </si>
  <si>
    <t>NG price</t>
  </si>
  <si>
    <t>Units - Man.</t>
  </si>
  <si>
    <t>Units - Ind.</t>
  </si>
  <si>
    <r>
      <rPr>
        <sz val="11"/>
        <rFont val="Calibri"/>
        <family val="2"/>
      </rPr>
      <t>€</t>
    </r>
    <r>
      <rPr>
        <sz val="7.7"/>
        <rFont val="Calibri"/>
        <family val="2"/>
      </rPr>
      <t>/kg</t>
    </r>
  </si>
  <si>
    <r>
      <rPr>
        <sz val="11"/>
        <rFont val="Calibri"/>
        <family val="2"/>
      </rPr>
      <t>€</t>
    </r>
    <r>
      <rPr>
        <sz val="7.7"/>
        <rFont val="Calibri"/>
        <family val="2"/>
      </rPr>
      <t>/GJ</t>
    </r>
  </si>
  <si>
    <t>nº of points</t>
  </si>
  <si>
    <t>Initial</t>
  </si>
  <si>
    <r>
      <rPr>
        <sz val="11"/>
        <rFont val="Calibri"/>
        <family val="2"/>
      </rPr>
      <t>€</t>
    </r>
    <r>
      <rPr>
        <sz val="7.7"/>
        <rFont val="Calibri"/>
        <family val="2"/>
      </rPr>
      <t>/MWh</t>
    </r>
  </si>
  <si>
    <t>Update manually or click below</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</si>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</sst>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
      <b/>
      <sz val="14"/>
      <color rgb="FFFF0000"/>
      <name val="Calibri"/>
      <family val="2"/>
      <scheme val="minor"/>
    </font>
    <font>
      <sz val="11"/>
      <name val="Calibri"/>
      <family val="2"/>
    </font>
    <font>
      <sz val="7.7"/>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34">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50" fillId="0" borderId="4" xfId="6" applyFont="1" applyBorder="1" applyAlignment="1">
      <alignment horizontal="center" vertical="center"/>
    </xf>
    <xf numFmtId="1" fontId="0" fillId="2" borderId="0" xfId="0" applyNumberFormat="1" applyFill="1"/>
    <xf numFmtId="2" fontId="0" fillId="2" borderId="0" xfId="0" applyNumberFormat="1" applyFill="1"/>
    <xf numFmtId="0" fontId="20" fillId="2" borderId="0" xfId="0" applyFont="1" applyFill="1"/>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2" borderId="0" xfId="6" applyFont="1" applyFill="1" applyBorder="1" applyAlignment="1">
      <alignment horizontal="center" vertical="center"/>
    </xf>
    <xf numFmtId="0" fontId="82" fillId="0" borderId="3" xfId="6" applyFont="1" applyBorder="1" applyAlignment="1">
      <alignment horizontal="center" vertical="center"/>
    </xf>
    <xf numFmtId="0" fontId="0" fillId="0" borderId="14" xfId="0" applyBorder="1"/>
    <xf numFmtId="0" fontId="83" fillId="2" borderId="0" xfId="0" applyFont="1" applyFill="1" applyBorder="1" applyAlignment="1">
      <alignment horizontal="center" vertical="center"/>
    </xf>
    <xf numFmtId="2" fontId="23" fillId="2" borderId="0" xfId="0" applyNumberFormat="1"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0" applyFont="1" applyFill="1" applyBorder="1" applyAlignment="1">
      <alignment horizontal="center" vertical="center"/>
    </xf>
    <xf numFmtId="0" fontId="41" fillId="2" borderId="4" xfId="0" applyFont="1" applyFill="1" applyBorder="1" applyAlignment="1">
      <alignment horizontal="center" vertical="center" wrapText="1"/>
    </xf>
    <xf numFmtId="0" fontId="82" fillId="0" borderId="0" xfId="6" applyFont="1" applyFill="1" applyBorder="1" applyAlignment="1">
      <alignment vertical="center"/>
    </xf>
    <xf numFmtId="0" fontId="38" fillId="0" borderId="0" xfId="0" applyFont="1" applyFill="1" applyBorder="1" applyAlignment="1">
      <alignment horizontal="center" vertical="center"/>
    </xf>
    <xf numFmtId="2" fontId="0" fillId="2" borderId="7" xfId="0" applyNumberFormat="1" applyFill="1" applyBorder="1" applyAlignment="1">
      <alignment horizontal="center" vertical="center"/>
    </xf>
    <xf numFmtId="0" fontId="23" fillId="2" borderId="0" xfId="0" applyNumberFormat="1" applyFont="1" applyFill="1" applyBorder="1" applyAlignment="1">
      <alignment horizontal="center" vertical="center"/>
    </xf>
    <xf numFmtId="0" fontId="83" fillId="2" borderId="0" xfId="6" applyFont="1" applyFill="1" applyAlignment="1">
      <alignment horizontal="center" vertical="center"/>
    </xf>
    <xf numFmtId="0" fontId="41" fillId="2" borderId="4" xfId="0" applyFont="1" applyFill="1" applyBorder="1" applyAlignment="1">
      <alignment vertical="center" wrapText="1"/>
    </xf>
    <xf numFmtId="2" fontId="0" fillId="2" borderId="0" xfId="0" applyNumberFormat="1" applyFill="1" applyBorder="1" applyAlignment="1">
      <alignment horizontal="center" vertical="center"/>
    </xf>
    <xf numFmtId="2" fontId="0" fillId="2" borderId="6" xfId="0" applyNumberFormat="1" applyFill="1" applyBorder="1" applyAlignment="1">
      <alignment horizontal="center" vertical="center"/>
    </xf>
    <xf numFmtId="2" fontId="0" fillId="0" borderId="0"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0" borderId="0" xfId="0" applyNumberFormat="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2" xfId="0" applyFont="1" applyFill="1" applyBorder="1" applyAlignment="1">
      <alignment horizontal="center" vertical="center"/>
    </xf>
    <xf numFmtId="0" fontId="0" fillId="2" borderId="1" xfId="0" applyFill="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69" fillId="0" borderId="4" xfId="11" applyFill="1" applyBorder="1" applyAlignment="1">
      <alignment horizontal="center" vertical="center" wrapText="1"/>
    </xf>
    <xf numFmtId="0" fontId="69" fillId="0" borderId="4" xfId="1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4" xfId="0" applyFont="1" applyFill="1" applyBorder="1" applyAlignment="1">
      <alignment horizontal="center" vertical="center"/>
    </xf>
    <xf numFmtId="0" fontId="1" fillId="0" borderId="12" xfId="0" applyFont="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5" borderId="4" xfId="6" applyFont="1" applyFill="1" applyBorder="1" applyAlignment="1">
      <alignment horizontal="center" vertical="center"/>
    </xf>
    <xf numFmtId="0" fontId="82" fillId="0" borderId="9" xfId="6" applyFont="1" applyFill="1" applyBorder="1" applyAlignment="1">
      <alignment horizontal="center" vertical="center"/>
    </xf>
    <xf numFmtId="0" fontId="82" fillId="0" borderId="0" xfId="6" applyFont="1" applyFill="1" applyBorder="1" applyAlignment="1">
      <alignment horizontal="center" vertical="center"/>
    </xf>
    <xf numFmtId="0" fontId="11" fillId="8"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8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2.0177025752821924</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4.4555492782592774</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0.41275354974375744</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0.16892684333938834</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1.6767696458905523</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-28.18657383774266</c:v>
                </c:pt>
                <c:pt idx="2">
                  <c:v>-53.810731872054163</c:v>
                </c:pt>
                <c:pt idx="3">
                  <c:v>-77.105420994155537</c:v>
                </c:pt>
                <c:pt idx="4">
                  <c:v>-72.372204437935707</c:v>
                </c:pt>
                <c:pt idx="5">
                  <c:v>-65.350253490213817</c:v>
                </c:pt>
                <c:pt idx="6">
                  <c:v>-58.966661719557564</c:v>
                </c:pt>
                <c:pt idx="7">
                  <c:v>-53.163396473506424</c:v>
                </c:pt>
                <c:pt idx="8">
                  <c:v>-47.887700795278114</c:v>
                </c:pt>
                <c:pt idx="9">
                  <c:v>-43.091613815070559</c:v>
                </c:pt>
                <c:pt idx="10">
                  <c:v>-38.731534742154601</c:v>
                </c:pt>
                <c:pt idx="11">
                  <c:v>-34.767826494049181</c:v>
                </c:pt>
                <c:pt idx="12">
                  <c:v>-31.164455359407896</c:v>
                </c:pt>
                <c:pt idx="13">
                  <c:v>-27.888663418824908</c:v>
                </c:pt>
                <c:pt idx="14">
                  <c:v>-24.910670745567646</c:v>
                </c:pt>
                <c:pt idx="15">
                  <c:v>-22.203404678970138</c:v>
                </c:pt>
                <c:pt idx="16">
                  <c:v>-19.742253709336037</c:v>
                </c:pt>
                <c:pt idx="17">
                  <c:v>-17.5048437369414</c:v>
                </c:pt>
                <c:pt idx="18">
                  <c:v>-15.470834671128094</c:v>
                </c:pt>
                <c:pt idx="19">
                  <c:v>-13.621735520388725</c:v>
                </c:pt>
                <c:pt idx="20">
                  <c:v>-11.940736292443844</c:v>
                </c:pt>
                <c:pt idx="21">
                  <c:v>-10.412555176130317</c:v>
                </c:pt>
                <c:pt idx="22">
                  <c:v>-9.0232996158452927</c:v>
                </c:pt>
                <c:pt idx="23">
                  <c:v>-7.7603400155861797</c:v>
                </c:pt>
                <c:pt idx="24">
                  <c:v>-6.612194924441531</c:v>
                </c:pt>
                <c:pt idx="25">
                  <c:v>-5.5684266597645777</c:v>
                </c:pt>
                <c:pt idx="26">
                  <c:v>-4.6195464191491658</c:v>
                </c:pt>
                <c:pt idx="27">
                  <c:v>-3.7569280185897007</c:v>
                </c:pt>
                <c:pt idx="28">
                  <c:v>-2.9727294726265505</c:v>
                </c:pt>
                <c:pt idx="29">
                  <c:v>-2.2598217035691412</c:v>
                </c:pt>
                <c:pt idx="30">
                  <c:v>-1.6117237316987694</c:v>
                </c:pt>
                <c:pt idx="31">
                  <c:v>-1.0225437572711586</c:v>
                </c:pt>
                <c:pt idx="32">
                  <c:v>-0.48692559870060348</c:v>
                </c:pt>
                <c:pt idx="33">
                  <c:v>-9.8809849191638932E-14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-31.005231221516926</c:v>
                </c:pt>
                <c:pt idx="2">
                  <c:v>-62.010462443033852</c:v>
                </c:pt>
                <c:pt idx="3">
                  <c:v>-93.015693664550781</c:v>
                </c:pt>
                <c:pt idx="4">
                  <c:v>-86.085791304589321</c:v>
                </c:pt>
                <c:pt idx="5">
                  <c:v>-74.776869083773747</c:v>
                </c:pt>
                <c:pt idx="6">
                  <c:v>-63.467946862958172</c:v>
                </c:pt>
                <c:pt idx="7">
                  <c:v>-52.159024642142597</c:v>
                </c:pt>
                <c:pt idx="8">
                  <c:v>-40.850102421327023</c:v>
                </c:pt>
                <c:pt idx="9">
                  <c:v>-29.541180200511448</c:v>
                </c:pt>
                <c:pt idx="10">
                  <c:v>-18.232257979695873</c:v>
                </c:pt>
                <c:pt idx="11">
                  <c:v>-6.9233357588802988</c:v>
                </c:pt>
                <c:pt idx="12">
                  <c:v>4.3855864619352758</c:v>
                </c:pt>
                <c:pt idx="13">
                  <c:v>15.69450868275085</c:v>
                </c:pt>
                <c:pt idx="14">
                  <c:v>27.003430903566425</c:v>
                </c:pt>
                <c:pt idx="15">
                  <c:v>38.312353124382</c:v>
                </c:pt>
                <c:pt idx="16">
                  <c:v>49.621275345197574</c:v>
                </c:pt>
                <c:pt idx="17">
                  <c:v>60.930197566013149</c:v>
                </c:pt>
                <c:pt idx="18">
                  <c:v>72.239119786828724</c:v>
                </c:pt>
                <c:pt idx="19">
                  <c:v>83.548042007644298</c:v>
                </c:pt>
                <c:pt idx="20">
                  <c:v>94.856964228459873</c:v>
                </c:pt>
                <c:pt idx="21">
                  <c:v>106.16588644927545</c:v>
                </c:pt>
                <c:pt idx="22">
                  <c:v>117.47480867009102</c:v>
                </c:pt>
                <c:pt idx="23">
                  <c:v>128.78373089090661</c:v>
                </c:pt>
                <c:pt idx="24">
                  <c:v>140.0926531117222</c:v>
                </c:pt>
                <c:pt idx="25">
                  <c:v>151.40157533253779</c:v>
                </c:pt>
                <c:pt idx="26">
                  <c:v>162.71049755335338</c:v>
                </c:pt>
                <c:pt idx="27">
                  <c:v>174.01941977416897</c:v>
                </c:pt>
                <c:pt idx="28">
                  <c:v>185.32834199498456</c:v>
                </c:pt>
                <c:pt idx="29">
                  <c:v>196.63726421580014</c:v>
                </c:pt>
                <c:pt idx="30">
                  <c:v>207.94618643661573</c:v>
                </c:pt>
                <c:pt idx="31">
                  <c:v>219.25510865743132</c:v>
                </c:pt>
                <c:pt idx="32">
                  <c:v>230.56403087824691</c:v>
                </c:pt>
                <c:pt idx="33">
                  <c:v>241.8729530990625</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pt idx="0">
                  <c:v>20</c:v>
                </c:pt>
                <c:pt idx="1">
                  <c:v>40</c:v>
                </c:pt>
                <c:pt idx="2">
                  <c:v>60</c:v>
                </c:pt>
                <c:pt idx="3">
                  <c:v>80</c:v>
                </c:pt>
                <c:pt idx="4">
                  <c:v>100</c:v>
                </c:pt>
              </c:numCache>
            </c:numRef>
          </c:xVal>
          <c:yVal>
            <c:numRef>
              <c:f>'Cash Flow Analysis'!$S$44:$S$49</c:f>
              <c:numCache>
                <c:formatCode>0.00</c:formatCode>
                <c:ptCount val="6"/>
                <c:pt idx="0">
                  <c:v>1.6184762468162333</c:v>
                </c:pt>
                <c:pt idx="1">
                  <c:v>1.6476229463533925</c:v>
                </c:pt>
                <c:pt idx="2">
                  <c:v>1.6767696458905517</c:v>
                </c:pt>
                <c:pt idx="3">
                  <c:v>1.7059163454277118</c:v>
                </c:pt>
                <c:pt idx="4">
                  <c:v>1.7350630449648703</c:v>
                </c:pt>
              </c:numCache>
            </c:numRef>
          </c:yVal>
          <c:smooth val="1"/>
          <c:extLst>
            <c:ext xmlns:c16="http://schemas.microsoft.com/office/drawing/2014/chart" uri="{C3380CC4-5D6E-409C-BE32-E72D297353CC}">
              <c16:uniqueId val="{00000000-7254-4854-A4DD-D8099E6BC1F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Electricity price (€/MWh)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NG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pt idx="0">
                  <c:v>3.5</c:v>
                </c:pt>
                <c:pt idx="1">
                  <c:v>5</c:v>
                </c:pt>
                <c:pt idx="2">
                  <c:v>6.5</c:v>
                </c:pt>
                <c:pt idx="3">
                  <c:v>8</c:v>
                </c:pt>
                <c:pt idx="4">
                  <c:v>9.5</c:v>
                </c:pt>
              </c:numCache>
            </c:numRef>
          </c:xVal>
          <c:yVal>
            <c:numRef>
              <c:f>'Cash Flow Analysis'!$Q$44:$Q$49</c:f>
              <c:numCache>
                <c:formatCode>0.00</c:formatCode>
                <c:ptCount val="6"/>
                <c:pt idx="0">
                  <c:v>1.2712310900167054</c:v>
                </c:pt>
                <c:pt idx="1">
                  <c:v>1.4740003679536282</c:v>
                </c:pt>
                <c:pt idx="2">
                  <c:v>1.6767696458905521</c:v>
                </c:pt>
                <c:pt idx="3">
                  <c:v>1.8795389238274758</c:v>
                </c:pt>
                <c:pt idx="4">
                  <c:v>2.0823082017643983</c:v>
                </c:pt>
              </c:numCache>
            </c:numRef>
          </c:yVal>
          <c:smooth val="1"/>
          <c:extLst>
            <c:ext xmlns:c16="http://schemas.microsoft.com/office/drawing/2014/chart" uri="{C3380CC4-5D6E-409C-BE32-E72D297353CC}">
              <c16:uniqueId val="{00000000-9A48-4107-871A-927A6915EEFC}"/>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NG</a:t>
                </a:r>
                <a:r>
                  <a:rPr lang="en-US" baseline="0"/>
                  <a:t> price</a:t>
                </a:r>
                <a:r>
                  <a:rPr lang="en-US"/>
                  <a:t>(€/GJ)</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22860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60960</xdr:rowOff>
        </xdr:from>
        <xdr:to>
          <xdr:col>38</xdr:col>
          <xdr:colOff>784860</xdr:colOff>
          <xdr:row>28</xdr:row>
          <xdr:rowOff>137160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9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9" name="Button 33" hidden="1">
              <a:extLst>
                <a:ext uri="{63B3BB69-23CF-44E3-9099-C40C66FF867C}">
                  <a14:compatExt spid="_x0000_s203809"/>
                </a:ext>
                <a:ext uri="{FF2B5EF4-FFF2-40B4-BE49-F238E27FC236}">
                  <a16:creationId xmlns:a16="http://schemas.microsoft.com/office/drawing/2014/main" id="{00000000-0008-0000-0B00-000021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10" name="Button 34" hidden="1">
              <a:extLst>
                <a:ext uri="{63B3BB69-23CF-44E3-9099-C40C66FF867C}">
                  <a14:compatExt spid="_x0000_s203810"/>
                </a:ext>
                <a:ext uri="{FF2B5EF4-FFF2-40B4-BE49-F238E27FC236}">
                  <a16:creationId xmlns:a16="http://schemas.microsoft.com/office/drawing/2014/main" id="{00000000-0008-0000-0B00-000022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11" name="Button 35" hidden="1">
              <a:extLst>
                <a:ext uri="{63B3BB69-23CF-44E3-9099-C40C66FF867C}">
                  <a14:compatExt spid="_x0000_s203811"/>
                </a:ext>
                <a:ext uri="{FF2B5EF4-FFF2-40B4-BE49-F238E27FC236}">
                  <a16:creationId xmlns:a16="http://schemas.microsoft.com/office/drawing/2014/main" id="{00000000-0008-0000-0B00-000023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263236</xdr:colOff>
      <xdr:row>40</xdr:row>
      <xdr:rowOff>0</xdr:rowOff>
    </xdr:from>
    <xdr:to>
      <xdr:col>27</xdr:col>
      <xdr:colOff>320691</xdr:colOff>
      <xdr:row>50</xdr:row>
      <xdr:rowOff>143435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670954</xdr:colOff>
      <xdr:row>49</xdr:row>
      <xdr:rowOff>171200</xdr:rowOff>
    </xdr:from>
    <xdr:to>
      <xdr:col>22</xdr:col>
      <xdr:colOff>232557</xdr:colOff>
      <xdr:row>62</xdr:row>
      <xdr:rowOff>83128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9884227" y="13139055"/>
          <a:ext cx="9162803" cy="333400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 in the spreadsheet to F:43 onwards (e.g. LCOP, I:6 in Cash Flow Analysis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cell G:43, onwards, to the corresponding cell used for calculations in the spreadhseet (e.g. natural gas price L:16 in Plant OPEX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23</xdr:col>
      <xdr:colOff>272143</xdr:colOff>
      <xdr:row>50</xdr:row>
      <xdr:rowOff>152400</xdr:rowOff>
    </xdr:from>
    <xdr:to>
      <xdr:col>27</xdr:col>
      <xdr:colOff>329598</xdr:colOff>
      <xdr:row>61</xdr:row>
      <xdr:rowOff>34577</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79" dataDxfId="377" headerRowBorderDxfId="378" tableBorderDxfId="376">
  <autoFilter ref="AE6:AE28" xr:uid="{BD430C73-D62B-4B34-81C6-4CB5D46BEDB9}">
    <filterColumn colId="0" hiddenButton="1"/>
  </autoFilter>
  <tableColumns count="1">
    <tableColumn id="1" xr3:uid="{84F9157D-4D99-4CBA-AAD8-CC3862882A85}" name="Stream" dataDxfId="37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74" dataDxfId="372" headerRowBorderDxfId="373" tableBorderDxfId="371" totalsRowBorderDxfId="37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69"/>
    <tableColumn id="2" xr3:uid="{AE3F280F-7355-4F85-94D3-238DF0299436}" name="O2" dataDxfId="368"/>
    <tableColumn id="3" xr3:uid="{65CB42F0-00F0-42E3-968D-D507A0425D12}" name="Ar" dataDxfId="367"/>
    <tableColumn id="4" xr3:uid="{CAAE2577-256A-4171-89A0-5968DDB75B83}" name="CO2" dataDxfId="366"/>
    <tableColumn id="5" xr3:uid="{B1749FA8-F263-4E6C-80CC-FAC508516728}" name="H2O" dataDxfId="365"/>
    <tableColumn id="6" xr3:uid="{3E0260EA-49A9-430D-9276-04AA82D42611}" name="CO" dataDxfId="364"/>
    <tableColumn id="7" xr3:uid="{8937B1A9-69B6-4131-A7E5-57110EF3994D}" name="H2" dataDxfId="363"/>
    <tableColumn id="8" xr3:uid="{64F470A9-C67A-4962-9B3A-B94C3AABC568}" name="CH4" dataDxfId="36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61" dataDxfId="359" headerRowBorderDxfId="360" tableBorderDxfId="358" totalsRowBorderDxfId="357">
  <autoFilter ref="AF6:AH28" xr:uid="{1E496B6B-9D2B-467B-B1BC-B30D13381E1A}">
    <filterColumn colId="0" hiddenButton="1"/>
    <filterColumn colId="1" hiddenButton="1"/>
    <filterColumn colId="2" hiddenButton="1"/>
  </autoFilter>
  <tableColumns count="3">
    <tableColumn id="1" xr3:uid="{876249EE-102A-4A6F-80BD-15A7B17749BB}" name="m (kg/s)" dataDxfId="356"/>
    <tableColumn id="2" xr3:uid="{0C7B1043-BC6B-4465-94D1-EE78A40E93D1}" name="P (bar)" dataDxfId="355"/>
    <tableColumn id="3" xr3:uid="{1134DE1D-9A13-442A-8372-0740BA17D7CD}" name="T(ºC)" dataDxfId="35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53" dataDxfId="351" headerRowBorderDxfId="352" tableBorderDxfId="350">
  <autoFilter ref="D12:D43" xr:uid="{54D9AD24-3255-47F8-8858-1911F353046A}">
    <filterColumn colId="0" hiddenButton="1"/>
  </autoFilter>
  <tableColumns count="1">
    <tableColumn id="1" xr3:uid="{1F3476C7-8735-417B-A9C4-822A322F5461}" name="Equipment" dataDxfId="34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48" dataDxfId="346" headerRowBorderDxfId="347" tableBorderDxfId="345">
  <autoFilter ref="E12:E43" xr:uid="{E7DD97D0-07C4-49A5-A08A-CD158C5E4B0A}">
    <filterColumn colId="0" hiddenButton="1"/>
  </autoFilter>
  <tableColumns count="1">
    <tableColumn id="1" xr3:uid="{0E0381C6-E46C-4155-8CCF-1E663E9A981A}" name="Subtype" dataDxfId="34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43" headerRowBorderDxfId="342" tableBorderDxfId="34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40" dataDxfId="338" headerRowBorderDxfId="339" tableBorderDxfId="337">
  <autoFilter ref="D12:D43" xr:uid="{54D9AD24-3255-47F8-8858-1911F353046A}">
    <filterColumn colId="0" hiddenButton="1"/>
  </autoFilter>
  <tableColumns count="1">
    <tableColumn id="1" xr3:uid="{A355DF28-B822-4D21-91F3-9DBB6C59828A}" name="Equipment" dataDxfId="33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35" dataDxfId="333" headerRowBorderDxfId="334" tableBorderDxfId="332">
  <autoFilter ref="E12:E43" xr:uid="{E7DD97D0-07C4-49A5-A08A-CD158C5E4B0A}">
    <filterColumn colId="0" hiddenButton="1"/>
  </autoFilter>
  <tableColumns count="1">
    <tableColumn id="1" xr3:uid="{6FE28B51-AB7B-4376-A0AF-515604CD3E9B}" name="Subtype" dataDxfId="3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30" headerRowBorderDxfId="329" tableBorderDxfId="32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27" dataDxfId="325" headerRowBorderDxfId="326" tableBorderDxfId="324">
  <autoFilter ref="D12:D43" xr:uid="{54D9AD24-3255-47F8-8858-1911F353046A}">
    <filterColumn colId="0" hiddenButton="1"/>
  </autoFilter>
  <tableColumns count="1">
    <tableColumn id="1" xr3:uid="{982C2FDE-2610-409B-AFA6-AB9A77C2AD64}" name="Equipment" dataDxfId="32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22" dataDxfId="320" headerRowBorderDxfId="321" tableBorderDxfId="319">
  <autoFilter ref="E12:E43" xr:uid="{E7DD97D0-07C4-49A5-A08A-CD158C5E4B0A}">
    <filterColumn colId="0" hiddenButton="1"/>
  </autoFilter>
  <tableColumns count="1">
    <tableColumn id="1" xr3:uid="{0562E097-31EE-4B2A-B63C-9F4563B5A65B}" name="Subtype" dataDxfId="3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17" headerRowBorderDxfId="316" tableBorderDxfId="31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14" dataDxfId="312" headerRowBorderDxfId="313" tableBorderDxfId="311">
  <autoFilter ref="D12:D43" xr:uid="{54D9AD24-3255-47F8-8858-1911F353046A}">
    <filterColumn colId="0" hiddenButton="1"/>
  </autoFilter>
  <tableColumns count="1">
    <tableColumn id="1" xr3:uid="{D8002BF7-53A6-46DA-BF60-638F2ADADD98}" name="Equipment" dataDxfId="3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309" dataDxfId="307" headerRowBorderDxfId="308" tableBorderDxfId="306">
  <autoFilter ref="E12:E43" xr:uid="{E7DD97D0-07C4-49A5-A08A-CD158C5E4B0A}">
    <filterColumn colId="0" hiddenButton="1"/>
  </autoFilter>
  <tableColumns count="1">
    <tableColumn id="1" xr3:uid="{3DEC9253-924D-4C36-889B-46675C41785E}" name="Subtype" dataDxfId="30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304" headerRowBorderDxfId="303" tableBorderDxfId="30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301" dataDxfId="299" headerRowBorderDxfId="300" tableBorderDxfId="298">
  <autoFilter ref="D12:D43" xr:uid="{54D9AD24-3255-47F8-8858-1911F353046A}">
    <filterColumn colId="0" hiddenButton="1"/>
  </autoFilter>
  <tableColumns count="1">
    <tableColumn id="1" xr3:uid="{D4E894C1-2B46-4578-8A7C-3273D596C4B2}" name="Equipment" dataDxfId="29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96" dataDxfId="294" headerRowBorderDxfId="295" tableBorderDxfId="293">
  <autoFilter ref="E12:E43" xr:uid="{E7DD97D0-07C4-49A5-A08A-CD158C5E4B0A}">
    <filterColumn colId="0" hiddenButton="1"/>
  </autoFilter>
  <tableColumns count="1">
    <tableColumn id="1" xr3:uid="{B170194C-1201-4F2F-A3E0-2BCDB7C2E29C}" name="Subtype" dataDxfId="29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91" headerRowBorderDxfId="290" tableBorderDxfId="28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88" dataDxfId="286" headerRowBorderDxfId="287" tableBorderDxfId="285">
  <autoFilter ref="D12:D43" xr:uid="{54D9AD24-3255-47F8-8858-1911F353046A}">
    <filterColumn colId="0" hiddenButton="1"/>
  </autoFilter>
  <tableColumns count="1">
    <tableColumn id="1" xr3:uid="{E7497426-2FBB-4742-B55A-8F8F1E9887E2}" name="Equipment" dataDxfId="28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83" dataDxfId="281" headerRowBorderDxfId="282" tableBorderDxfId="280">
  <autoFilter ref="E12:E43" xr:uid="{E7DD97D0-07C4-49A5-A08A-CD158C5E4B0A}">
    <filterColumn colId="0" hiddenButton="1"/>
  </autoFilter>
  <tableColumns count="1">
    <tableColumn id="1" xr3:uid="{073FDF8B-B762-4542-826F-EFCB4CCE12D4}" name="Subtype" dataDxfId="27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78" headerRowBorderDxfId="277" tableBorderDxfId="27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75" dataDxfId="273" headerRowBorderDxfId="274" tableBorderDxfId="272">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5" xr3:uid="{4DCE178F-A95B-4C36-AD98-E668E3C59C40}" name="Item 5" dataDxfId="263" totalsRowDxfId="262"/>
    <tableColumn id="6" xr3:uid="{702AED3F-C6D2-4BB6-9912-0C6AB695923C}" name="Item 6" dataDxfId="261" totalsRowDxfId="260"/>
    <tableColumn id="7" xr3:uid="{1C398EE1-9F0E-4010-88E7-1AB74A3A9E33}" name="Item 7" dataDxfId="259" totalsRowDxfId="258"/>
    <tableColumn id="22" xr3:uid="{118B0DE5-F4D6-41BA-B022-A7A53FBE109A}" name="Total" dataDxfId="257" totalsRowDxfId="256">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55" dataDxfId="253" headerRowBorderDxfId="254" tableBorderDxfId="252">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51"/>
    <tableColumn id="2" xr3:uid="{A2FE6D58-DE8B-428E-BCCE-879A37C47E6E}" name="Item 2" dataDxfId="250"/>
    <tableColumn id="3" xr3:uid="{7925CDB2-450B-4481-AAF3-C97257BEAACF}" name="Item 3" dataDxfId="249"/>
    <tableColumn id="4" xr3:uid="{04880DFB-6CC9-4F3A-8D86-4D2CF229564A}" name="Item 4" dataDxfId="248"/>
    <tableColumn id="5" xr3:uid="{56589B25-FEEF-4974-901E-B17DA0EF019A}" name="Item 5" dataDxfId="247"/>
    <tableColumn id="6" xr3:uid="{77C17441-508D-466D-A2E4-1A7AB95BFEF6}" name="Item 6" dataDxfId="246"/>
    <tableColumn id="7" xr3:uid="{A45306E8-6BE2-4F29-97F1-F3B0FF61C2EB}" name="Item 7" dataDxfId="245"/>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44" dataDxfId="242" headerRowBorderDxfId="243" tableBorderDxfId="241">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0"/>
    <tableColumn id="2" xr3:uid="{9B4C5D61-F713-41FC-B7C7-9F077DE82275}" name="Value" dataDxfId="239"/>
    <tableColumn id="3" xr3:uid="{A4C06DCA-E860-4A4F-B152-665585967753}" name="unit/year" dataDxfId="238"/>
    <tableColumn id="4" xr3:uid="{CCA6FF56-D426-420F-BF2F-A692827F42E1}" name="Specific Cost" dataDxfId="237"/>
    <tableColumn id="5" xr3:uid="{4648B13C-CDDA-4B0E-ABF0-FBA2AFA9D245}" name="cost/unit" dataDxfId="236"/>
    <tableColumn id="6" xr3:uid="{F22C8FA2-C58A-42CD-927E-2B28BD9711A6}" name="cost/year" dataDxfId="235">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4" headerRowBorderDxfId="233" tableBorderDxfId="232">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1"/>
    <tableColumn id="2" xr3:uid="{332EA6EB-8C1E-4D46-8464-EFCB65EA23A5}" name="Value" dataDxfId="230"/>
    <tableColumn id="3" xr3:uid="{BAEA2EAA-B867-4C8B-926B-D331C449D698}" name="unit/year" dataDxfId="229"/>
    <tableColumn id="4" xr3:uid="{23D264B9-CD6B-4F68-92FC-49B00E384F23}" name="Specific Cost" dataDxfId="228"/>
    <tableColumn id="5" xr3:uid="{00D8C109-8039-47C9-A54A-67B25387E9D5}" name="cost/unit" dataDxfId="227"/>
    <tableColumn id="6" xr3:uid="{526DA783-5211-4718-AFCF-98B7F83F959A}" name="cost/year" dataDxfId="226">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25" dataDxfId="223" headerRowBorderDxfId="224" tableBorderDxfId="22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1"/>
    <tableColumn id="2" xr3:uid="{C2D6BCEA-8C9D-49FB-BFC1-D70F1AF96B3C}" name="Value" dataDxfId="220"/>
    <tableColumn id="3" xr3:uid="{1E8C5934-680E-4CE8-BF03-307BA777810C}" name="unit/year" dataDxfId="219"/>
    <tableColumn id="4" xr3:uid="{F602E6B3-7A75-49BA-AF4A-D607E8EFA18E}" name="Specific Cost" dataDxfId="218"/>
    <tableColumn id="5" xr3:uid="{B0FD65F7-3D14-410A-871D-F32A1D988FCC}" name="cost/unit" dataDxfId="217"/>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7470C7D-ED2F-44BF-8D96-B2453B708244}" name="Table63" displayName="Table63" ref="B42:K44" totalsRowShown="0" headerRowDxfId="215" dataDxfId="213" headerRowBorderDxfId="214" tableBorderDxfId="212">
  <autoFilter ref="B42:K44" xr:uid="{47470C7D-ED2F-44BF-8D96-B2453B7082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184A266D-5175-4C97-A4A2-AC5EC12FC14E}" name="Ind. Var" dataDxfId="211">
      <calculatedColumnFormula>+G6</calculatedColumnFormula>
    </tableColumn>
    <tableColumn id="8" xr3:uid="{90B058EB-D988-4139-BCA2-1E849DD414AE}" name="Units - Ind." dataDxfId="210" dataCellStyle="Normal 2 2"/>
    <tableColumn id="7" xr3:uid="{A325E14C-4736-41E5-9E7C-E97342DE2FC0}" name="Man. Var." dataDxfId="209">
      <calculatedColumnFormula>+'Plant OPEX'!I16</calculatedColumnFormula>
    </tableColumn>
    <tableColumn id="9" xr3:uid="{E0A061D9-9D1E-44F5-8204-9F1C049F4E91}" name="Units - Man." dataDxfId="208"/>
    <tableColumn id="1" xr3:uid="{27190238-D968-4A35-913A-F717AFDAE171}" name="Ind. Var." dataDxfId="207"/>
    <tableColumn id="2" xr3:uid="{02CB4798-00A1-43E7-9AA0-7B696CB7CDB0}" name="Man. Var" dataDxfId="206"/>
    <tableColumn id="10" xr3:uid="{AEA1A21B-595D-4DCD-BEE6-A07CD6060499}" name="Base" dataDxfId="205"/>
    <tableColumn id="3" xr3:uid="{045FB841-C60E-4503-B534-A41A60010A21}" name="Increment" dataDxfId="204"/>
    <tableColumn id="4" xr3:uid="{7FAD0130-9A24-4A99-B5F1-65607F094DFB}" name="nº of points" dataDxfId="203"/>
    <tableColumn id="5" xr3:uid="{BBEACEB0-9D4A-4E86-84FE-CD43BC1E9B7F}" name="Initial" dataDxfId="202"/>
  </tableColumns>
  <tableStyleInfo name="TableStyleLight20" showFirstColumn="0" showLastColumn="0" showRowStripes="0"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10.vml"/><Relationship Id="rId7"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table" Target="../tables/table2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4.xml"/><Relationship Id="rId12" Type="http://schemas.openxmlformats.org/officeDocument/2006/relationships/ctrlProp" Target="../ctrlProps/ctrlProp29.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7.xml"/><Relationship Id="rId4" Type="http://schemas.openxmlformats.org/officeDocument/2006/relationships/drawing" Target="../drawings/drawing10.xml"/><Relationship Id="rId9" Type="http://schemas.openxmlformats.org/officeDocument/2006/relationships/ctrlProp" Target="../ctrlProps/ctrlProp26.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30.xml"/><Relationship Id="rId7" Type="http://schemas.openxmlformats.org/officeDocument/2006/relationships/ctrlProp" Target="../ctrlProps/ctrlProp34.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trlProp" Target="../ctrlProps/ctrlProp33.xml"/><Relationship Id="rId5" Type="http://schemas.openxmlformats.org/officeDocument/2006/relationships/ctrlProp" Target="../ctrlProps/ctrlProp32.xml"/><Relationship Id="rId10" Type="http://schemas.openxmlformats.org/officeDocument/2006/relationships/comments" Target="../comments9.xml"/><Relationship Id="rId4" Type="http://schemas.openxmlformats.org/officeDocument/2006/relationships/ctrlProp" Target="../ctrlProps/ctrlProp31.xml"/><Relationship Id="rId9" Type="http://schemas.openxmlformats.org/officeDocument/2006/relationships/table" Target="../tables/table2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50" Type="http://schemas.openxmlformats.org/officeDocument/2006/relationships/table" Target="../tables/table74.xml"/><Relationship Id="rId55" Type="http://schemas.openxmlformats.org/officeDocument/2006/relationships/table" Target="../tables/table79.xml"/><Relationship Id="rId63" Type="http://schemas.openxmlformats.org/officeDocument/2006/relationships/table" Target="../tables/table87.xml"/><Relationship Id="rId7" Type="http://schemas.openxmlformats.org/officeDocument/2006/relationships/table" Target="../tables/table31.xml"/><Relationship Id="rId2" Type="http://schemas.openxmlformats.org/officeDocument/2006/relationships/printerSettings" Target="../printerSettings/printerSettings12.bin"/><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41" Type="http://schemas.openxmlformats.org/officeDocument/2006/relationships/table" Target="../tables/table65.xml"/><Relationship Id="rId54" Type="http://schemas.openxmlformats.org/officeDocument/2006/relationships/table" Target="../tables/table78.xml"/><Relationship Id="rId62" Type="http://schemas.openxmlformats.org/officeDocument/2006/relationships/table" Target="../tables/table86.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3" Type="http://schemas.openxmlformats.org/officeDocument/2006/relationships/table" Target="../tables/table77.xml"/><Relationship Id="rId58" Type="http://schemas.openxmlformats.org/officeDocument/2006/relationships/table" Target="../tables/table82.xml"/><Relationship Id="rId66" Type="http://schemas.microsoft.com/office/2017/10/relationships/threadedComment" Target="../threadedComments/threadedComment1.xml"/><Relationship Id="rId5" Type="http://schemas.openxmlformats.org/officeDocument/2006/relationships/ctrlProp" Target="../ctrlProps/ctrlProp41.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table" Target="../tables/table73.xml"/><Relationship Id="rId57" Type="http://schemas.openxmlformats.org/officeDocument/2006/relationships/table" Target="../tables/table81.xml"/><Relationship Id="rId61" Type="http://schemas.openxmlformats.org/officeDocument/2006/relationships/table" Target="../tables/table85.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52" Type="http://schemas.openxmlformats.org/officeDocument/2006/relationships/table" Target="../tables/table76.xml"/><Relationship Id="rId60" Type="http://schemas.openxmlformats.org/officeDocument/2006/relationships/table" Target="../tables/table84.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56" Type="http://schemas.openxmlformats.org/officeDocument/2006/relationships/table" Target="../tables/table80.xml"/><Relationship Id="rId64" Type="http://schemas.openxmlformats.org/officeDocument/2006/relationships/table" Target="../tables/table88.xml"/><Relationship Id="rId8" Type="http://schemas.openxmlformats.org/officeDocument/2006/relationships/table" Target="../tables/table32.xml"/><Relationship Id="rId51" Type="http://schemas.openxmlformats.org/officeDocument/2006/relationships/table" Target="../tables/table75.xml"/><Relationship Id="rId3" Type="http://schemas.openxmlformats.org/officeDocument/2006/relationships/drawing" Target="../drawings/drawing14.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59" Type="http://schemas.openxmlformats.org/officeDocument/2006/relationships/table" Target="../tables/table8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90.xml"/><Relationship Id="rId7" Type="http://schemas.openxmlformats.org/officeDocument/2006/relationships/table" Target="../tables/table94.xml"/><Relationship Id="rId2" Type="http://schemas.openxmlformats.org/officeDocument/2006/relationships/table" Target="../tables/table89.xml"/><Relationship Id="rId1" Type="http://schemas.openxmlformats.org/officeDocument/2006/relationships/vmlDrawing" Target="../drawings/vmlDrawing17.vml"/><Relationship Id="rId6" Type="http://schemas.openxmlformats.org/officeDocument/2006/relationships/table" Target="../tables/table93.xml"/><Relationship Id="rId5" Type="http://schemas.openxmlformats.org/officeDocument/2006/relationships/table" Target="../tables/table92.xml"/><Relationship Id="rId4" Type="http://schemas.openxmlformats.org/officeDocument/2006/relationships/table" Target="../tables/table91.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62" t="s">
        <v>996</v>
      </c>
      <c r="AC2" s="1063"/>
      <c r="AD2" s="1064"/>
      <c r="AE2" s="914"/>
      <c r="AF2" s="914"/>
    </row>
    <row r="3" spans="2:32" ht="18" customHeight="1" x14ac:dyDescent="0.3">
      <c r="B3" s="91"/>
      <c r="C3" s="1065" t="s">
        <v>692</v>
      </c>
      <c r="D3" s="1066"/>
      <c r="E3" s="1066"/>
      <c r="F3" s="1066"/>
      <c r="G3" s="1066"/>
      <c r="H3" s="1066"/>
      <c r="I3" s="1066"/>
      <c r="J3" s="1066"/>
      <c r="K3" s="1066"/>
      <c r="L3" s="1066"/>
      <c r="M3" s="1066"/>
      <c r="N3" s="1066"/>
      <c r="O3" s="1066"/>
      <c r="P3" s="1066"/>
      <c r="Q3" s="1066"/>
      <c r="R3" s="1066"/>
      <c r="S3" s="1066"/>
      <c r="T3" s="1066"/>
      <c r="U3" s="1066"/>
      <c r="V3" s="1066"/>
      <c r="W3" s="1066"/>
      <c r="X3" s="1066"/>
      <c r="Y3" s="1067"/>
      <c r="Z3" s="650"/>
      <c r="AA3" s="923"/>
      <c r="AB3" s="189" t="s">
        <v>360</v>
      </c>
      <c r="AC3" s="189" t="s">
        <v>997</v>
      </c>
      <c r="AD3" s="189" t="s">
        <v>998</v>
      </c>
      <c r="AE3" s="923"/>
      <c r="AF3" s="914"/>
    </row>
    <row r="4" spans="2:32" ht="18" customHeight="1" x14ac:dyDescent="0.3">
      <c r="B4" s="91"/>
      <c r="C4" s="1068"/>
      <c r="D4" s="1069"/>
      <c r="E4" s="1069"/>
      <c r="F4" s="1069"/>
      <c r="G4" s="1069"/>
      <c r="H4" s="1069"/>
      <c r="I4" s="1069"/>
      <c r="J4" s="1069"/>
      <c r="K4" s="1069"/>
      <c r="L4" s="1069"/>
      <c r="M4" s="1069"/>
      <c r="N4" s="1069"/>
      <c r="O4" s="1069"/>
      <c r="P4" s="1069"/>
      <c r="Q4" s="1069"/>
      <c r="R4" s="1069"/>
      <c r="S4" s="1069"/>
      <c r="T4" s="1069"/>
      <c r="U4" s="1069"/>
      <c r="V4" s="1069"/>
      <c r="W4" s="1069"/>
      <c r="X4" s="1069"/>
      <c r="Y4" s="1070"/>
      <c r="Z4" s="641"/>
      <c r="AA4" s="914"/>
      <c r="AB4" s="924"/>
      <c r="AC4" s="925"/>
      <c r="AD4" s="890"/>
      <c r="AE4" s="914"/>
      <c r="AF4" s="914"/>
    </row>
    <row r="5" spans="2:32" ht="18" customHeight="1" x14ac:dyDescent="0.3">
      <c r="B5" s="91"/>
      <c r="C5" s="1071"/>
      <c r="D5" s="1072"/>
      <c r="E5" s="1072"/>
      <c r="F5" s="1072"/>
      <c r="G5" s="1072"/>
      <c r="H5" s="1072"/>
      <c r="I5" s="1072"/>
      <c r="J5" s="1072"/>
      <c r="K5" s="1072"/>
      <c r="L5" s="1072"/>
      <c r="M5" s="1072"/>
      <c r="N5" s="1072"/>
      <c r="O5" s="1072"/>
      <c r="P5" s="1072"/>
      <c r="Q5" s="1072"/>
      <c r="R5" s="1072"/>
      <c r="S5" s="1072"/>
      <c r="T5" s="1072"/>
      <c r="U5" s="1072"/>
      <c r="V5" s="1072"/>
      <c r="W5" s="1072"/>
      <c r="X5" s="1072"/>
      <c r="Y5" s="1073"/>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697</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689</v>
      </c>
      <c r="M8" s="931"/>
      <c r="N8" s="931"/>
      <c r="O8" s="931"/>
      <c r="P8" s="654"/>
      <c r="Z8" s="84"/>
      <c r="AB8" s="926"/>
      <c r="AC8" s="927"/>
      <c r="AD8" s="890"/>
      <c r="AF8" s="914"/>
    </row>
    <row r="9" spans="2:32" ht="18" customHeight="1" x14ac:dyDescent="0.35">
      <c r="B9" s="91"/>
      <c r="C9" s="914"/>
      <c r="J9" s="931"/>
      <c r="K9" s="931"/>
      <c r="L9" s="932" t="s">
        <v>690</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999</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691</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704</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74" t="s">
        <v>707</v>
      </c>
      <c r="D15" s="1075"/>
      <c r="E15" s="1076"/>
      <c r="F15" s="1077" t="s">
        <v>1090</v>
      </c>
      <c r="G15" s="1078"/>
      <c r="H15" s="1078"/>
      <c r="I15" s="1078"/>
      <c r="J15" s="1078"/>
      <c r="K15" s="1078"/>
      <c r="L15" s="1078"/>
      <c r="M15" s="1078"/>
      <c r="N15" s="1078"/>
      <c r="O15" s="1078"/>
      <c r="P15" s="1078"/>
      <c r="Q15" s="1078"/>
      <c r="R15" s="1078"/>
      <c r="S15" s="1078"/>
      <c r="T15" s="1078"/>
      <c r="U15" s="1078"/>
      <c r="V15" s="1078"/>
      <c r="W15" s="1078"/>
      <c r="X15" s="1078"/>
      <c r="Y15" s="1079"/>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62" t="s">
        <v>695</v>
      </c>
      <c r="E18" s="1063"/>
      <c r="F18" s="1063"/>
      <c r="G18" s="1063"/>
      <c r="H18" s="1063"/>
      <c r="I18" s="1063"/>
      <c r="J18" s="1063"/>
      <c r="K18" s="1064"/>
      <c r="L18" s="1059" t="s">
        <v>693</v>
      </c>
      <c r="M18" s="1060"/>
      <c r="N18" s="1060"/>
      <c r="O18" s="1060"/>
      <c r="P18" s="1061"/>
      <c r="Q18" s="641"/>
      <c r="R18" s="914"/>
      <c r="S18" s="400"/>
      <c r="T18" s="1051" t="s">
        <v>700</v>
      </c>
      <c r="U18" s="1052"/>
      <c r="V18" s="1053" t="s">
        <v>698</v>
      </c>
      <c r="W18" s="1054"/>
      <c r="X18" s="1055"/>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51" t="s">
        <v>701</v>
      </c>
      <c r="U19" s="1052"/>
      <c r="V19" s="1053" t="s">
        <v>1108</v>
      </c>
      <c r="W19" s="1054"/>
      <c r="X19" s="1055"/>
      <c r="Y19" s="641"/>
      <c r="Z19" s="641"/>
      <c r="AA19" s="914"/>
      <c r="AB19" s="926"/>
      <c r="AC19" s="927"/>
      <c r="AD19" s="890"/>
      <c r="AE19" s="914"/>
      <c r="AF19" s="914"/>
    </row>
    <row r="20" spans="2:32" ht="18" customHeight="1" x14ac:dyDescent="0.3">
      <c r="B20" s="91"/>
      <c r="C20" s="400"/>
      <c r="D20" s="938" t="s">
        <v>1000</v>
      </c>
      <c r="E20" s="938"/>
      <c r="F20" s="938"/>
      <c r="G20" s="938"/>
      <c r="H20" s="652"/>
      <c r="I20" s="938"/>
      <c r="J20" s="938"/>
      <c r="K20" s="938"/>
      <c r="L20" s="938"/>
      <c r="M20" s="938"/>
      <c r="N20" s="938"/>
      <c r="O20" s="938"/>
      <c r="P20" s="938"/>
      <c r="Q20" s="641"/>
      <c r="R20" s="914"/>
      <c r="S20" s="400"/>
      <c r="T20" s="1051" t="s">
        <v>702</v>
      </c>
      <c r="U20" s="1052"/>
      <c r="V20" s="1056" t="s">
        <v>1001</v>
      </c>
      <c r="W20" s="1057"/>
      <c r="X20" s="1058"/>
      <c r="Y20" s="641"/>
      <c r="Z20" s="641"/>
      <c r="AA20" s="914"/>
      <c r="AB20" s="926"/>
      <c r="AC20" s="927"/>
      <c r="AD20" s="890"/>
      <c r="AE20" s="914"/>
      <c r="AF20" s="914"/>
    </row>
    <row r="21" spans="2:32" ht="18" customHeight="1" x14ac:dyDescent="0.3">
      <c r="B21" s="91"/>
      <c r="C21" s="400"/>
      <c r="D21" s="938" t="s">
        <v>1002</v>
      </c>
      <c r="E21" s="938"/>
      <c r="F21" s="938"/>
      <c r="G21" s="938"/>
      <c r="H21" s="652"/>
      <c r="I21" s="938"/>
      <c r="J21" s="938"/>
      <c r="K21" s="938"/>
      <c r="L21" s="938"/>
      <c r="M21" s="938"/>
      <c r="N21" s="938"/>
      <c r="O21" s="938"/>
      <c r="P21" s="938"/>
      <c r="Q21" s="641"/>
      <c r="R21" s="914"/>
      <c r="S21" s="400"/>
      <c r="T21" s="1051" t="s">
        <v>703</v>
      </c>
      <c r="U21" s="1052"/>
      <c r="V21" s="1059" t="s">
        <v>1003</v>
      </c>
      <c r="W21" s="1060"/>
      <c r="X21" s="1061"/>
      <c r="Y21" s="641"/>
      <c r="Z21" s="641"/>
      <c r="AA21" s="914"/>
      <c r="AB21" s="926"/>
      <c r="AC21" s="927"/>
      <c r="AD21" s="890"/>
      <c r="AE21" s="914"/>
      <c r="AF21" s="914"/>
    </row>
    <row r="22" spans="2:32" ht="18" customHeight="1" x14ac:dyDescent="0.3">
      <c r="B22" s="91"/>
      <c r="C22" s="400"/>
      <c r="E22" s="940" t="s">
        <v>1004</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1005</v>
      </c>
      <c r="F23" s="940"/>
      <c r="G23" s="940"/>
      <c r="J23" s="938"/>
      <c r="K23" s="938"/>
      <c r="L23" s="938"/>
      <c r="M23" s="938"/>
      <c r="N23" s="938"/>
      <c r="O23" s="938"/>
      <c r="P23" s="938"/>
      <c r="Q23" s="641"/>
      <c r="R23" s="914"/>
      <c r="S23" s="400"/>
      <c r="T23" s="1039" t="s">
        <v>699</v>
      </c>
      <c r="U23" s="1040"/>
      <c r="V23" s="1040"/>
      <c r="W23" s="1040"/>
      <c r="X23" s="1041"/>
      <c r="Y23" s="641"/>
      <c r="Z23" s="641"/>
      <c r="AA23" s="914"/>
      <c r="AB23" s="926"/>
      <c r="AC23" s="927"/>
      <c r="AD23" s="890"/>
      <c r="AE23" s="914"/>
      <c r="AF23" s="914"/>
    </row>
    <row r="24" spans="2:32" ht="18" customHeight="1" x14ac:dyDescent="0.3">
      <c r="B24" s="91"/>
      <c r="C24" s="400"/>
      <c r="D24" s="938" t="s">
        <v>1006</v>
      </c>
      <c r="E24" s="938"/>
      <c r="F24" s="938"/>
      <c r="G24" s="938"/>
      <c r="H24" s="938"/>
      <c r="I24" s="938"/>
      <c r="J24" s="938"/>
      <c r="K24" s="938"/>
      <c r="L24" s="938"/>
      <c r="M24" s="938"/>
      <c r="N24" s="938"/>
      <c r="O24" s="938"/>
      <c r="P24" s="938"/>
      <c r="Q24" s="641"/>
      <c r="R24" s="914"/>
      <c r="S24" s="400"/>
      <c r="T24" s="1042" t="s">
        <v>1109</v>
      </c>
      <c r="U24" s="1043"/>
      <c r="V24" s="1043"/>
      <c r="W24" s="1043"/>
      <c r="X24" s="1044"/>
      <c r="Y24" s="641"/>
      <c r="Z24" s="641"/>
      <c r="AA24" s="914"/>
      <c r="AB24" s="926"/>
      <c r="AC24" s="927"/>
      <c r="AD24" s="890"/>
      <c r="AE24" s="914"/>
      <c r="AF24" s="914"/>
    </row>
    <row r="25" spans="2:32" ht="18" customHeight="1" x14ac:dyDescent="0.3">
      <c r="B25" s="91"/>
      <c r="C25" s="400"/>
      <c r="D25" s="938" t="s">
        <v>1007</v>
      </c>
      <c r="E25" s="938"/>
      <c r="F25" s="938"/>
      <c r="G25" s="938"/>
      <c r="H25" s="938"/>
      <c r="I25" s="938"/>
      <c r="J25" s="938"/>
      <c r="K25" s="938"/>
      <c r="L25" s="938"/>
      <c r="M25" s="938"/>
      <c r="N25" s="938"/>
      <c r="O25" s="938"/>
      <c r="P25" s="938"/>
      <c r="Q25" s="641"/>
      <c r="R25" s="914"/>
      <c r="S25" s="400"/>
      <c r="T25" s="1045"/>
      <c r="U25" s="1046"/>
      <c r="V25" s="1046"/>
      <c r="W25" s="1046"/>
      <c r="X25" s="1047"/>
      <c r="Y25" s="641"/>
      <c r="Z25" s="641"/>
      <c r="AA25" s="914"/>
      <c r="AB25" s="926"/>
      <c r="AC25" s="927"/>
      <c r="AD25" s="890"/>
      <c r="AE25" s="914"/>
      <c r="AF25" s="914"/>
    </row>
    <row r="26" spans="2:32" ht="18" customHeight="1" x14ac:dyDescent="0.3">
      <c r="B26" s="91"/>
      <c r="C26" s="400"/>
      <c r="D26" s="938" t="s">
        <v>1008</v>
      </c>
      <c r="E26" s="938"/>
      <c r="F26" s="938"/>
      <c r="G26" s="938"/>
      <c r="H26" s="938"/>
      <c r="I26" s="938"/>
      <c r="J26" s="938"/>
      <c r="K26" s="938"/>
      <c r="L26" s="938"/>
      <c r="M26" s="938"/>
      <c r="N26" s="938"/>
      <c r="O26" s="938"/>
      <c r="P26" s="938"/>
      <c r="Q26" s="641"/>
      <c r="R26" s="914"/>
      <c r="S26" s="400"/>
      <c r="T26" s="1045"/>
      <c r="U26" s="1046"/>
      <c r="V26" s="1046"/>
      <c r="W26" s="1046"/>
      <c r="X26" s="1047"/>
      <c r="Y26" s="641"/>
      <c r="Z26" s="641"/>
      <c r="AA26" s="914"/>
      <c r="AB26" s="926"/>
      <c r="AC26" s="927"/>
      <c r="AD26" s="890"/>
      <c r="AE26" s="914"/>
      <c r="AF26" s="914"/>
    </row>
    <row r="27" spans="2:32" ht="18" customHeight="1" x14ac:dyDescent="0.3">
      <c r="B27" s="91"/>
      <c r="C27" s="400"/>
      <c r="D27" s="938" t="s">
        <v>1009</v>
      </c>
      <c r="E27" s="938"/>
      <c r="F27" s="938"/>
      <c r="G27" s="938"/>
      <c r="H27" s="938"/>
      <c r="I27" s="938"/>
      <c r="J27" s="938"/>
      <c r="K27" s="938"/>
      <c r="L27" s="938"/>
      <c r="M27" s="938"/>
      <c r="N27" s="938"/>
      <c r="O27" s="938"/>
      <c r="P27" s="938"/>
      <c r="Q27" s="641"/>
      <c r="R27" s="914"/>
      <c r="S27" s="400"/>
      <c r="T27" s="1048"/>
      <c r="U27" s="1049"/>
      <c r="V27" s="1049"/>
      <c r="W27" s="1049"/>
      <c r="X27" s="1050"/>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1010</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1011</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1012</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1013</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1014</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AB2:AD2"/>
    <mergeCell ref="C3:Y5"/>
    <mergeCell ref="C15:E15"/>
    <mergeCell ref="F15:Y15"/>
    <mergeCell ref="D18:K18"/>
    <mergeCell ref="L18:P18"/>
    <mergeCell ref="T18:U18"/>
    <mergeCell ref="V18:X18"/>
    <mergeCell ref="T23:X23"/>
    <mergeCell ref="T24:X27"/>
    <mergeCell ref="T19:U19"/>
    <mergeCell ref="V19:X19"/>
    <mergeCell ref="T20:U20"/>
    <mergeCell ref="V20:X20"/>
    <mergeCell ref="T21:U21"/>
    <mergeCell ref="V21:X21"/>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25" zoomScaleNormal="25" workbookViewId="0">
      <selection activeCell="C3" sqref="C3:K3"/>
    </sheetView>
  </sheetViews>
  <sheetFormatPr defaultColWidth="11.109375" defaultRowHeight="14.4" x14ac:dyDescent="0.3"/>
  <cols>
    <col min="1" max="2" width="3.44140625" customWidth="1"/>
    <col min="3" max="3" width="3.6640625" customWidth="1"/>
    <col min="4" max="4" width="28.33203125" bestFit="1" customWidth="1"/>
    <col min="5" max="10" width="22.3320312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102" t="s">
        <v>659</v>
      </c>
      <c r="D3" s="1103"/>
      <c r="E3" s="1103"/>
      <c r="F3" s="1103"/>
      <c r="G3" s="1103"/>
      <c r="H3" s="1103"/>
      <c r="I3" s="1103"/>
      <c r="J3" s="1103"/>
      <c r="K3" s="1104"/>
      <c r="L3" s="106"/>
      <c r="M3" s="105"/>
      <c r="N3" s="120"/>
      <c r="O3" s="1096" t="str">
        <f>+E6&amp;" Diagram"</f>
        <v>GSR-H₂  Diagram</v>
      </c>
      <c r="P3" s="1097"/>
      <c r="Q3" s="1097"/>
      <c r="R3" s="1097"/>
      <c r="S3" s="1097"/>
      <c r="T3" s="1097"/>
      <c r="U3" s="1097"/>
      <c r="V3" s="1097"/>
      <c r="W3" s="1097"/>
      <c r="X3" s="1097"/>
      <c r="Y3" s="1097"/>
      <c r="Z3" s="1097"/>
      <c r="AA3" s="1098"/>
      <c r="AB3" s="113"/>
      <c r="AC3" s="105"/>
      <c r="AD3" s="105"/>
      <c r="AE3" s="1090" t="str">
        <f>+E6&amp;" Stream Summary"</f>
        <v>GSR-H₂  Stream Summary</v>
      </c>
      <c r="AF3" s="1090"/>
      <c r="AG3" s="1090"/>
      <c r="AH3" s="1090"/>
      <c r="AI3" s="1090"/>
      <c r="AJ3" s="1090"/>
      <c r="AK3" s="1090"/>
      <c r="AL3" s="1090"/>
      <c r="AM3" s="1090"/>
      <c r="AN3" s="1090"/>
      <c r="AO3" s="1090"/>
      <c r="AP3" s="1090"/>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118" t="s">
        <v>594</v>
      </c>
      <c r="E5" s="1118"/>
      <c r="F5" s="105"/>
      <c r="G5" s="92"/>
      <c r="H5" s="92"/>
      <c r="I5" s="1116" t="s">
        <v>267</v>
      </c>
      <c r="J5" s="1117"/>
      <c r="K5" s="105"/>
      <c r="L5" s="106"/>
      <c r="M5" s="105"/>
      <c r="N5" s="120"/>
      <c r="O5" s="112"/>
      <c r="P5" s="112"/>
      <c r="Q5" s="112"/>
      <c r="R5" s="112"/>
      <c r="S5" s="112"/>
      <c r="T5" s="112"/>
      <c r="U5" s="112"/>
      <c r="V5" s="112"/>
      <c r="W5" s="112"/>
      <c r="X5" s="112"/>
      <c r="Y5" s="112"/>
      <c r="Z5" s="112"/>
      <c r="AA5" s="112"/>
      <c r="AB5" s="113"/>
      <c r="AC5" s="105"/>
      <c r="AD5" s="92"/>
      <c r="AE5" s="705"/>
      <c r="AF5" s="1099" t="s">
        <v>814</v>
      </c>
      <c r="AG5" s="1100"/>
      <c r="AH5" s="1101"/>
      <c r="AI5" s="1099" t="s">
        <v>926</v>
      </c>
      <c r="AJ5" s="1100"/>
      <c r="AK5" s="1100"/>
      <c r="AL5" s="1100"/>
      <c r="AM5" s="1100"/>
      <c r="AN5" s="1100"/>
      <c r="AO5" s="1100"/>
      <c r="AP5" s="1101"/>
      <c r="AQ5" s="705"/>
      <c r="AR5" s="705"/>
    </row>
    <row r="6" spans="1:71" ht="22.2" customHeight="1" x14ac:dyDescent="0.3">
      <c r="A6" s="83"/>
      <c r="B6" s="104"/>
      <c r="C6" s="105"/>
      <c r="D6" s="547" t="s">
        <v>675</v>
      </c>
      <c r="E6" s="535" t="s">
        <v>1089</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725</v>
      </c>
      <c r="AF6" s="701" t="s">
        <v>923</v>
      </c>
      <c r="AG6" s="876" t="s">
        <v>924</v>
      </c>
      <c r="AH6" s="876" t="s">
        <v>925</v>
      </c>
      <c r="AI6" s="703" t="s">
        <v>733</v>
      </c>
      <c r="AJ6" s="877" t="s">
        <v>927</v>
      </c>
      <c r="AK6" s="877" t="s">
        <v>928</v>
      </c>
      <c r="AL6" s="877" t="s">
        <v>929</v>
      </c>
      <c r="AM6" s="877" t="s">
        <v>930</v>
      </c>
      <c r="AN6" s="877" t="s">
        <v>931</v>
      </c>
      <c r="AO6" s="877" t="s">
        <v>365</v>
      </c>
      <c r="AP6" s="877" t="s">
        <v>932</v>
      </c>
      <c r="AQ6" s="105"/>
      <c r="AR6" s="83"/>
      <c r="AS6" s="83"/>
    </row>
    <row r="7" spans="1:71" ht="22.2" customHeight="1" x14ac:dyDescent="0.3">
      <c r="A7" s="83"/>
      <c r="B7" s="104"/>
      <c r="C7" s="105"/>
      <c r="D7" s="553" t="s">
        <v>477</v>
      </c>
      <c r="E7" s="583"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573</v>
      </c>
      <c r="E9" s="585" t="s">
        <v>456</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96" t="str">
        <f>+E6&amp;": Mass &amp; Energy Balance"</f>
        <v>GSR-H₂ : Mass &amp; Energy Balance</v>
      </c>
      <c r="D12" s="1097"/>
      <c r="E12" s="1097"/>
      <c r="F12" s="1097"/>
      <c r="G12" s="1097"/>
      <c r="H12" s="1097"/>
      <c r="I12" s="1097"/>
      <c r="J12" s="1097"/>
      <c r="K12" s="1098"/>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729</v>
      </c>
      <c r="E14" s="87" t="s">
        <v>734</v>
      </c>
      <c r="F14" s="474"/>
      <c r="G14" s="105"/>
      <c r="H14" s="87" t="s">
        <v>756</v>
      </c>
      <c r="I14" s="713" t="s">
        <v>457</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731</v>
      </c>
      <c r="E15" s="754">
        <v>6.4347023093290403</v>
      </c>
      <c r="F15" s="478"/>
      <c r="G15" s="105"/>
      <c r="H15" s="987" t="s">
        <v>1073</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1068</v>
      </c>
      <c r="E16" s="755">
        <v>1.153</v>
      </c>
      <c r="F16" s="478"/>
      <c r="G16" s="105"/>
      <c r="H16" s="987" t="s">
        <v>1074</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730</v>
      </c>
      <c r="E17" s="755">
        <v>4.2395093680494798</v>
      </c>
      <c r="F17" s="478"/>
      <c r="G17" s="105"/>
      <c r="H17" s="988" t="s">
        <v>1075</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1050</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1069</v>
      </c>
      <c r="E19" s="755">
        <v>9.6509999999999999E-2</v>
      </c>
      <c r="F19" s="478"/>
      <c r="G19" s="105"/>
      <c r="H19" s="685" t="s">
        <v>760</v>
      </c>
      <c r="I19" s="766" t="s">
        <v>457</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1070</v>
      </c>
      <c r="E20" s="170">
        <v>2.6270000000000002E-2</v>
      </c>
      <c r="F20" s="478"/>
      <c r="G20" s="105"/>
      <c r="H20" s="987" t="s">
        <v>761</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1071</v>
      </c>
      <c r="E21" s="755">
        <v>7.51335346342238</v>
      </c>
      <c r="F21" s="478"/>
      <c r="G21" s="105"/>
      <c r="H21" s="988" t="s">
        <v>762</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732</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751</v>
      </c>
      <c r="E23" s="756">
        <f>+E21-SUM(E15:E20)</f>
        <v>-5.0062254436550084</v>
      </c>
      <c r="F23" s="478"/>
      <c r="G23" s="696"/>
      <c r="H23" s="685" t="s">
        <v>765</v>
      </c>
      <c r="I23" s="774" t="s">
        <v>734</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764</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763</v>
      </c>
      <c r="E25" s="773" t="s">
        <v>457</v>
      </c>
      <c r="F25" s="478"/>
      <c r="G25" s="696"/>
      <c r="H25" s="986" t="s">
        <v>1072</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1060</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1061</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1062</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1059</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360</v>
      </c>
      <c r="I31" s="547" t="s">
        <v>665</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1067</v>
      </c>
      <c r="I32" s="769">
        <v>0.95421999806197799</v>
      </c>
      <c r="J32" s="535" t="s">
        <v>744</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96" t="str">
        <f>+E6&amp;": Environmental Performance"</f>
        <v>GSR-H₂ : Environmental Performance</v>
      </c>
      <c r="D34" s="1097"/>
      <c r="E34" s="1097"/>
      <c r="F34" s="1097"/>
      <c r="G34" s="1097"/>
      <c r="H34" s="1097"/>
      <c r="I34" s="1097"/>
      <c r="J34" s="1097"/>
      <c r="K34" s="1098"/>
      <c r="L34" s="106"/>
      <c r="M34" s="105"/>
      <c r="N34" s="116"/>
      <c r="O34" s="1096" t="str">
        <f>+E6</f>
        <v xml:space="preserve">GSR-H₂ </v>
      </c>
      <c r="P34" s="1097"/>
      <c r="Q34" s="1097"/>
      <c r="R34" s="1097"/>
      <c r="S34" s="1097"/>
      <c r="T34" s="1098"/>
      <c r="U34" s="92"/>
      <c r="V34" s="1096" t="s">
        <v>685</v>
      </c>
      <c r="W34" s="1097"/>
      <c r="X34" s="1097"/>
      <c r="Y34" s="1097"/>
      <c r="Z34" s="1097"/>
      <c r="AA34" s="1098"/>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1087</v>
      </c>
      <c r="E36" s="713" t="s">
        <v>744</v>
      </c>
      <c r="F36" s="148"/>
      <c r="G36" s="105"/>
      <c r="H36" s="87" t="s">
        <v>735</v>
      </c>
      <c r="I36" s="713" t="s">
        <v>736</v>
      </c>
      <c r="J36" s="474"/>
      <c r="K36" s="152"/>
      <c r="L36" s="106"/>
      <c r="M36" s="105"/>
      <c r="N36" s="120"/>
      <c r="O36" s="1039" t="s">
        <v>580</v>
      </c>
      <c r="P36" s="1040"/>
      <c r="Q36" s="1040"/>
      <c r="R36" s="1040"/>
      <c r="S36" s="1040"/>
      <c r="T36" s="1041"/>
      <c r="U36" s="92"/>
      <c r="V36" s="582" t="s">
        <v>360</v>
      </c>
      <c r="W36" s="631" t="s">
        <v>589</v>
      </c>
      <c r="X36" s="1091" t="s">
        <v>357</v>
      </c>
      <c r="Y36" s="1091"/>
      <c r="Z36" s="1091"/>
      <c r="AA36" s="1092"/>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738</v>
      </c>
      <c r="E37" s="828">
        <v>6.92840135508842</v>
      </c>
      <c r="F37" s="256"/>
      <c r="G37" s="105"/>
      <c r="H37" s="987" t="s">
        <v>749</v>
      </c>
      <c r="I37" s="750">
        <v>5.6800000000000003E-2</v>
      </c>
      <c r="J37" s="148"/>
      <c r="K37" s="152"/>
      <c r="L37" s="106"/>
      <c r="M37" s="105"/>
      <c r="N37" s="120"/>
      <c r="O37" s="1107" t="s">
        <v>1083</v>
      </c>
      <c r="P37" s="1108"/>
      <c r="Q37" s="1108"/>
      <c r="R37" s="1108"/>
      <c r="S37" s="1108"/>
      <c r="T37" s="1109"/>
      <c r="U37" s="112"/>
      <c r="V37" s="694" t="s">
        <v>933</v>
      </c>
      <c r="W37" s="535" t="s">
        <v>240</v>
      </c>
      <c r="X37" s="1093" t="s">
        <v>934</v>
      </c>
      <c r="Y37" s="1093"/>
      <c r="Z37" s="1093"/>
      <c r="AA37" s="1094"/>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739</v>
      </c>
      <c r="E38" s="775">
        <v>6.3544999999999999E-3</v>
      </c>
      <c r="F38" s="256"/>
      <c r="G38" s="105"/>
      <c r="H38" s="987" t="s">
        <v>748</v>
      </c>
      <c r="I38" s="751">
        <v>9.2299999999999993E-2</v>
      </c>
      <c r="J38" s="256"/>
      <c r="K38" s="152"/>
      <c r="L38" s="106"/>
      <c r="M38" s="105"/>
      <c r="N38" s="120"/>
      <c r="O38" s="1110"/>
      <c r="P38" s="1111"/>
      <c r="Q38" s="1111"/>
      <c r="R38" s="1111"/>
      <c r="S38" s="1111"/>
      <c r="T38" s="1112"/>
      <c r="U38" s="112"/>
      <c r="V38" s="373" t="s">
        <v>769</v>
      </c>
      <c r="W38" s="535" t="s">
        <v>453</v>
      </c>
      <c r="X38" s="1095" t="s">
        <v>837</v>
      </c>
      <c r="Y38" s="1095"/>
      <c r="Z38" s="1095"/>
      <c r="AA38" s="1095"/>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740</v>
      </c>
      <c r="E39" s="775">
        <v>0.28674120022430499</v>
      </c>
      <c r="F39" s="256"/>
      <c r="G39" s="105"/>
      <c r="H39" s="988" t="s">
        <v>750</v>
      </c>
      <c r="I39" s="752">
        <v>6.3299999999999995E-2</v>
      </c>
      <c r="J39" s="148"/>
      <c r="K39" s="152"/>
      <c r="L39" s="106"/>
      <c r="M39" s="105"/>
      <c r="N39" s="120"/>
      <c r="O39" s="1110"/>
      <c r="P39" s="1111"/>
      <c r="Q39" s="1111"/>
      <c r="R39" s="1111"/>
      <c r="S39" s="1111"/>
      <c r="T39" s="1112"/>
      <c r="U39" s="112"/>
      <c r="V39" s="500" t="s">
        <v>994</v>
      </c>
      <c r="W39" s="535" t="s">
        <v>454</v>
      </c>
      <c r="X39" s="1095" t="s">
        <v>995</v>
      </c>
      <c r="Y39" s="1095"/>
      <c r="Z39" s="1095"/>
      <c r="AA39" s="1095"/>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741</v>
      </c>
      <c r="E40" s="775">
        <v>5.9359385327950299E-2</v>
      </c>
      <c r="F40" s="256"/>
      <c r="G40" s="105"/>
      <c r="J40" s="148"/>
      <c r="K40" s="152"/>
      <c r="L40" s="106"/>
      <c r="M40" s="105"/>
      <c r="N40" s="120"/>
      <c r="O40" s="1110"/>
      <c r="P40" s="1111"/>
      <c r="Q40" s="1111"/>
      <c r="R40" s="1111"/>
      <c r="S40" s="1111"/>
      <c r="T40" s="1112"/>
      <c r="U40" s="112"/>
      <c r="V40" s="694" t="s">
        <v>771</v>
      </c>
      <c r="W40" s="535" t="s">
        <v>455</v>
      </c>
      <c r="X40" s="1093" t="s">
        <v>935</v>
      </c>
      <c r="Y40" s="1093"/>
      <c r="Z40" s="1093"/>
      <c r="AA40" s="1094"/>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865</v>
      </c>
      <c r="E41" s="225">
        <v>7.6432461281616099E-2</v>
      </c>
      <c r="F41" s="256"/>
      <c r="G41" s="105"/>
      <c r="H41" s="685" t="s">
        <v>746</v>
      </c>
      <c r="I41" s="713" t="s">
        <v>745</v>
      </c>
      <c r="J41" s="148"/>
      <c r="K41" s="152"/>
      <c r="L41" s="106"/>
      <c r="M41" s="105"/>
      <c r="N41" s="120"/>
      <c r="O41" s="1110"/>
      <c r="P41" s="1111"/>
      <c r="Q41" s="1111"/>
      <c r="R41" s="1111"/>
      <c r="S41" s="1111"/>
      <c r="T41" s="1112"/>
      <c r="U41" s="112"/>
      <c r="V41" s="694" t="s">
        <v>1049</v>
      </c>
      <c r="W41" s="535" t="s">
        <v>770</v>
      </c>
      <c r="X41" s="1105" t="s">
        <v>937</v>
      </c>
      <c r="Y41" s="1105"/>
      <c r="Z41" s="1105"/>
      <c r="AA41" s="1106"/>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742</v>
      </c>
      <c r="E42" s="776">
        <f>+E39-E38+E40+E41</f>
        <v>0.41617854683387145</v>
      </c>
      <c r="F42" s="256"/>
      <c r="G42" s="105"/>
      <c r="H42" s="990" t="s">
        <v>1084</v>
      </c>
      <c r="I42" s="709">
        <v>73.44</v>
      </c>
      <c r="J42" s="148"/>
      <c r="K42" s="152"/>
      <c r="L42" s="106"/>
      <c r="M42" s="105"/>
      <c r="N42" s="120"/>
      <c r="O42" s="1110"/>
      <c r="P42" s="1111"/>
      <c r="Q42" s="1111"/>
      <c r="R42" s="1111"/>
      <c r="S42" s="1111"/>
      <c r="T42" s="1112"/>
      <c r="U42" s="112"/>
      <c r="V42" s="500" t="s">
        <v>1050</v>
      </c>
      <c r="W42" s="535" t="s">
        <v>774</v>
      </c>
      <c r="X42" s="1093" t="s">
        <v>936</v>
      </c>
      <c r="Y42" s="1093"/>
      <c r="Z42" s="1093"/>
      <c r="AA42" s="1094"/>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752</v>
      </c>
      <c r="E43" s="713" t="s">
        <v>457</v>
      </c>
      <c r="F43" s="256"/>
      <c r="G43" s="696"/>
      <c r="H43" s="987" t="s">
        <v>1085</v>
      </c>
      <c r="I43" s="763">
        <v>70.11</v>
      </c>
      <c r="J43" s="696"/>
      <c r="K43" s="152"/>
      <c r="L43" s="106"/>
      <c r="M43" s="105"/>
      <c r="N43" s="120"/>
      <c r="O43" s="1110"/>
      <c r="P43" s="1111"/>
      <c r="Q43" s="1111"/>
      <c r="R43" s="1111"/>
      <c r="S43" s="1111"/>
      <c r="T43" s="1112"/>
      <c r="U43" s="112"/>
      <c r="V43" s="778" t="s">
        <v>869</v>
      </c>
      <c r="W43" s="535" t="s">
        <v>938</v>
      </c>
      <c r="X43" s="1095" t="s">
        <v>939</v>
      </c>
      <c r="Y43" s="1095"/>
      <c r="Z43" s="1095"/>
      <c r="AA43" s="1095"/>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743</v>
      </c>
      <c r="E44" s="767">
        <f>+E37/(E58*I58/1000)/I37</f>
        <v>0.94563882051171866</v>
      </c>
      <c r="F44" s="478"/>
      <c r="G44" s="696"/>
      <c r="H44" s="988" t="s">
        <v>1086</v>
      </c>
      <c r="I44" s="757">
        <v>71.11</v>
      </c>
      <c r="J44" s="696"/>
      <c r="K44" s="152"/>
      <c r="L44" s="106"/>
      <c r="M44" s="105"/>
      <c r="N44" s="120"/>
      <c r="O44" s="1110"/>
      <c r="P44" s="1111"/>
      <c r="Q44" s="1111"/>
      <c r="R44" s="1111"/>
      <c r="S44" s="1111"/>
      <c r="T44" s="1112"/>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747</v>
      </c>
      <c r="E45" s="829">
        <f>+E37/(E58*I58/1000*I37-E22*I39-E23*I38)</f>
        <v>0.90201499459251622</v>
      </c>
      <c r="F45" s="209"/>
      <c r="G45" s="696"/>
      <c r="J45" s="696"/>
      <c r="K45" s="152"/>
      <c r="L45" s="106"/>
      <c r="M45" s="105"/>
      <c r="N45" s="120"/>
      <c r="O45" s="1110"/>
      <c r="P45" s="1111"/>
      <c r="Q45" s="1111"/>
      <c r="R45" s="1111"/>
      <c r="S45" s="1111"/>
      <c r="T45" s="1112"/>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757</v>
      </c>
      <c r="E46" s="768">
        <f>+E37/(E58*I58/1000*I37-I38*E23)</f>
        <v>0.88953804240251977</v>
      </c>
      <c r="F46" s="470"/>
      <c r="G46" s="696"/>
      <c r="H46" s="87" t="s">
        <v>766</v>
      </c>
      <c r="I46" s="87" t="s">
        <v>1055</v>
      </c>
      <c r="J46" s="696"/>
      <c r="K46" s="152"/>
      <c r="L46" s="106"/>
      <c r="M46" s="105"/>
      <c r="N46" s="120"/>
      <c r="O46" s="1110"/>
      <c r="P46" s="1111"/>
      <c r="Q46" s="1111"/>
      <c r="R46" s="1111"/>
      <c r="S46" s="1111"/>
      <c r="T46" s="1112"/>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766</v>
      </c>
      <c r="I47" s="776">
        <f>+(1/E27-1/I16)/(I43-E50)*1000</f>
        <v>-0.74356273005470708</v>
      </c>
      <c r="J47" s="92"/>
      <c r="K47" s="152"/>
      <c r="L47" s="106"/>
      <c r="M47" s="105"/>
      <c r="N47" s="120"/>
      <c r="O47" s="1110"/>
      <c r="P47" s="1111"/>
      <c r="Q47" s="1111"/>
      <c r="R47" s="1111"/>
      <c r="S47" s="1111"/>
      <c r="T47" s="1112"/>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768</v>
      </c>
      <c r="E48" s="713" t="s">
        <v>745</v>
      </c>
      <c r="F48" s="470"/>
      <c r="G48" s="696"/>
      <c r="H48" s="983" t="s">
        <v>767</v>
      </c>
      <c r="I48" s="776">
        <f>+(1/E28-1/I17)/(I44-E51)*1000</f>
        <v>-1.1170161802002263</v>
      </c>
      <c r="J48" s="92"/>
      <c r="K48" s="152"/>
      <c r="L48" s="106"/>
      <c r="M48" s="105"/>
      <c r="N48" s="120"/>
      <c r="O48" s="1110"/>
      <c r="P48" s="1111"/>
      <c r="Q48" s="1111"/>
      <c r="R48" s="1111"/>
      <c r="S48" s="1111"/>
      <c r="T48" s="1112"/>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1064</v>
      </c>
      <c r="E49" s="217">
        <f>+$E$42*1000/($I$32*$I$59/1000)</f>
        <v>3.6342135539052891</v>
      </c>
      <c r="F49" s="470"/>
      <c r="G49" s="696"/>
      <c r="H49" s="92"/>
      <c r="I49" s="92"/>
      <c r="J49" s="92"/>
      <c r="K49" s="152"/>
      <c r="L49" s="106"/>
      <c r="M49" s="105"/>
      <c r="N49" s="120"/>
      <c r="O49" s="1110"/>
      <c r="P49" s="1111"/>
      <c r="Q49" s="1111"/>
      <c r="R49" s="1111"/>
      <c r="S49" s="1111"/>
      <c r="T49" s="1112"/>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1065</v>
      </c>
      <c r="E50" s="417">
        <f>+($E$42-E23*I38-E22*I39)*1000/($I$32*$I$59/1000)</f>
        <v>6.7284143549006759</v>
      </c>
      <c r="F50" s="696"/>
      <c r="G50" s="696"/>
      <c r="H50" s="92"/>
      <c r="I50" s="92"/>
      <c r="J50" s="92"/>
      <c r="K50" s="152"/>
      <c r="L50" s="106"/>
      <c r="M50" s="105"/>
      <c r="N50" s="120"/>
      <c r="O50" s="1110"/>
      <c r="P50" s="1111"/>
      <c r="Q50" s="1111"/>
      <c r="R50" s="1111"/>
      <c r="S50" s="1111"/>
      <c r="T50" s="1112"/>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1066</v>
      </c>
      <c r="E51" s="225">
        <f>+($E$42-E23*I38)*1000/($E$58*$I$58/1000)</f>
        <v>6.8086390157703143</v>
      </c>
      <c r="F51" s="696"/>
      <c r="G51" s="696"/>
      <c r="K51" s="152"/>
      <c r="L51" s="106"/>
      <c r="M51" s="105"/>
      <c r="N51" s="120"/>
      <c r="O51" s="1110"/>
      <c r="P51" s="1111"/>
      <c r="Q51" s="1111"/>
      <c r="R51" s="1111"/>
      <c r="S51" s="1111"/>
      <c r="T51" s="1112"/>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360</v>
      </c>
      <c r="I52" s="547" t="s">
        <v>665</v>
      </c>
      <c r="J52" s="524" t="s">
        <v>235</v>
      </c>
      <c r="K52" s="152"/>
      <c r="L52" s="106"/>
      <c r="M52" s="105"/>
      <c r="N52" s="120"/>
      <c r="O52" s="1110"/>
      <c r="P52" s="1111"/>
      <c r="Q52" s="1111"/>
      <c r="R52" s="1111"/>
      <c r="S52" s="1111"/>
      <c r="T52" s="1112"/>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737</v>
      </c>
      <c r="I53" s="777">
        <f>+E42</f>
        <v>0.41617854683387145</v>
      </c>
      <c r="J53" s="535" t="s">
        <v>744</v>
      </c>
      <c r="K53" s="152"/>
      <c r="L53" s="106"/>
      <c r="M53" s="105"/>
      <c r="N53" s="120"/>
      <c r="O53" s="1110"/>
      <c r="P53" s="1111"/>
      <c r="Q53" s="1111"/>
      <c r="R53" s="1111"/>
      <c r="S53" s="1111"/>
      <c r="T53" s="1112"/>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113"/>
      <c r="P54" s="1114"/>
      <c r="Q54" s="1114"/>
      <c r="R54" s="1114"/>
      <c r="S54" s="1114"/>
      <c r="T54" s="1115"/>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96" t="str">
        <f>+E6&amp;" Fuel / Raw Materials"</f>
        <v>GSR-H₂  Fuel / Raw Materials</v>
      </c>
      <c r="D55" s="1097"/>
      <c r="E55" s="1097"/>
      <c r="F55" s="1097"/>
      <c r="G55" s="1097"/>
      <c r="H55" s="1097"/>
      <c r="I55" s="1097"/>
      <c r="J55" s="1097"/>
      <c r="K55" s="1098"/>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96" t="s">
        <v>721</v>
      </c>
      <c r="P56" s="1097"/>
      <c r="Q56" s="1097"/>
      <c r="R56" s="1097"/>
      <c r="S56" s="1097"/>
      <c r="T56" s="1098"/>
      <c r="U56" s="105"/>
      <c r="V56" s="1102" t="s">
        <v>727</v>
      </c>
      <c r="W56" s="1103"/>
      <c r="X56" s="1103"/>
      <c r="Y56" s="1103"/>
      <c r="Z56" s="1103"/>
      <c r="AA56" s="1104"/>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383</v>
      </c>
      <c r="E57" s="713" t="s">
        <v>744</v>
      </c>
      <c r="F57" s="87" t="s">
        <v>753</v>
      </c>
      <c r="G57" s="105"/>
      <c r="H57" s="87" t="s">
        <v>753</v>
      </c>
      <c r="I57" s="713" t="s">
        <v>755</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754</v>
      </c>
      <c r="I58" s="490">
        <v>46500</v>
      </c>
      <c r="J58" s="148"/>
      <c r="K58" s="152"/>
      <c r="L58" s="106"/>
      <c r="M58" s="83"/>
      <c r="N58" s="104"/>
      <c r="O58" s="91"/>
      <c r="T58" s="84"/>
      <c r="U58" s="105"/>
      <c r="V58" s="104"/>
      <c r="W58" s="1126" t="s">
        <v>722</v>
      </c>
      <c r="X58" s="1126"/>
      <c r="Y58" s="1126"/>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758</v>
      </c>
      <c r="E59" s="764">
        <f>+(E58*I58/1000-E23/I20-E22/I21)/I58*1000</f>
        <v>2.9066977107216942</v>
      </c>
      <c r="F59" s="851">
        <f t="shared" ref="F59:F60" si="4">+E59*$I$58/1000</f>
        <v>135.16144354855876</v>
      </c>
      <c r="G59" s="105"/>
      <c r="H59" s="988" t="s">
        <v>1067</v>
      </c>
      <c r="I59" s="493">
        <v>120010.910768182</v>
      </c>
      <c r="J59" s="256"/>
      <c r="K59" s="152"/>
      <c r="L59" s="106"/>
      <c r="M59" s="83"/>
      <c r="N59" s="104"/>
      <c r="O59" s="91"/>
      <c r="P59" s="1080" t="s">
        <v>1078</v>
      </c>
      <c r="Q59" s="1081"/>
      <c r="R59" s="1082"/>
      <c r="S59" s="1086"/>
      <c r="T59" s="84"/>
      <c r="U59" s="105"/>
      <c r="V59" s="104"/>
      <c r="W59" s="1127" t="s">
        <v>578</v>
      </c>
      <c r="X59" s="706"/>
      <c r="Y59" s="1129" t="s">
        <v>579</v>
      </c>
      <c r="Z59" s="1131">
        <v>22</v>
      </c>
      <c r="AA59" s="106"/>
      <c r="AB59" s="106"/>
      <c r="AC59" s="83"/>
      <c r="AD59" s="83"/>
      <c r="AG59" s="83"/>
      <c r="AH59" s="83"/>
      <c r="AI59" s="83"/>
      <c r="AK59" s="83"/>
      <c r="AL59" s="83"/>
      <c r="AM59" s="698"/>
      <c r="AN59" s="698"/>
      <c r="AO59" s="83"/>
      <c r="AP59" s="83"/>
    </row>
    <row r="60" spans="1:42" ht="22.2" customHeight="1" x14ac:dyDescent="0.3">
      <c r="A60" s="83"/>
      <c r="B60" s="91"/>
      <c r="C60" s="116"/>
      <c r="D60" s="986" t="s">
        <v>759</v>
      </c>
      <c r="E60" s="765">
        <f>+(E58*I58/1000-E23/I20-E22/I21*0)/I58*1000</f>
        <v>2.9473667668746217</v>
      </c>
      <c r="F60" s="852">
        <f t="shared" si="4"/>
        <v>137.05255465966991</v>
      </c>
      <c r="G60" s="105"/>
      <c r="H60" s="148"/>
      <c r="I60" s="148"/>
      <c r="J60" s="148"/>
      <c r="K60" s="152"/>
      <c r="L60" s="106"/>
      <c r="M60" s="83"/>
      <c r="N60" s="104"/>
      <c r="O60" s="91"/>
      <c r="P60" s="1083"/>
      <c r="Q60" s="1084"/>
      <c r="R60" s="1085"/>
      <c r="S60" s="1087"/>
      <c r="T60" s="84"/>
      <c r="U60" s="105"/>
      <c r="V60" s="104"/>
      <c r="W60" s="1128"/>
      <c r="X60" s="707"/>
      <c r="Y60" s="1130"/>
      <c r="Z60" s="1132"/>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921</v>
      </c>
      <c r="E62" s="87" t="s">
        <v>922</v>
      </c>
      <c r="F62" s="256"/>
      <c r="G62" s="105"/>
      <c r="H62" s="148"/>
      <c r="I62" s="148"/>
      <c r="J62" s="148"/>
      <c r="K62" s="152"/>
      <c r="L62" s="106"/>
      <c r="M62" s="83"/>
      <c r="N62" s="104"/>
      <c r="O62" s="91"/>
      <c r="P62" s="1080" t="s">
        <v>1079</v>
      </c>
      <c r="Q62" s="1081"/>
      <c r="R62" s="1082"/>
      <c r="S62" s="1086"/>
      <c r="T62" s="84"/>
      <c r="U62" s="105"/>
      <c r="V62" s="104"/>
      <c r="W62" s="1123" t="s">
        <v>724</v>
      </c>
      <c r="X62" s="1124"/>
      <c r="Y62" s="1125"/>
      <c r="Z62" s="589" t="s">
        <v>342</v>
      </c>
      <c r="AA62" s="106"/>
      <c r="AB62" s="106"/>
      <c r="AC62" s="83"/>
      <c r="AD62" s="83"/>
      <c r="AG62" s="83"/>
      <c r="AI62" s="83"/>
      <c r="AK62" s="83"/>
      <c r="AM62" s="83"/>
      <c r="AN62" s="83"/>
      <c r="AO62" s="83"/>
      <c r="AP62" s="83"/>
    </row>
    <row r="63" spans="1:42" ht="22.2" customHeight="1" x14ac:dyDescent="0.3">
      <c r="A63" s="83"/>
      <c r="B63" s="91"/>
      <c r="C63" s="150"/>
      <c r="D63" s="384" t="s">
        <v>733</v>
      </c>
      <c r="E63" s="853">
        <v>0.89</v>
      </c>
      <c r="F63" s="256"/>
      <c r="G63" s="105"/>
      <c r="H63" s="148"/>
      <c r="I63" s="148"/>
      <c r="J63" s="148"/>
      <c r="K63" s="152"/>
      <c r="L63" s="106"/>
      <c r="M63" s="83"/>
      <c r="N63" s="104"/>
      <c r="O63" s="91"/>
      <c r="P63" s="1083"/>
      <c r="Q63" s="1084"/>
      <c r="R63" s="1085"/>
      <c r="S63" s="1087"/>
      <c r="T63" s="84"/>
      <c r="U63" s="105"/>
      <c r="V63" s="104"/>
      <c r="W63" s="1127" t="str">
        <f>+W59</f>
        <v>ADD</v>
      </c>
      <c r="X63" s="1119"/>
      <c r="Y63" s="1129" t="str">
        <f>+Y59</f>
        <v>REMOVE</v>
      </c>
      <c r="Z63" s="1131">
        <v>3</v>
      </c>
      <c r="AA63" s="106"/>
      <c r="AB63" s="106"/>
      <c r="AC63" s="83"/>
      <c r="AD63" s="83"/>
      <c r="AG63" s="83"/>
      <c r="AM63" s="83"/>
      <c r="AN63" s="83"/>
      <c r="AO63" s="83"/>
      <c r="AP63" s="83"/>
    </row>
    <row r="64" spans="1:42" ht="22.2" customHeight="1" x14ac:dyDescent="0.35">
      <c r="A64" s="83"/>
      <c r="B64" s="91"/>
      <c r="C64" s="150"/>
      <c r="D64" s="384" t="s">
        <v>917</v>
      </c>
      <c r="E64" s="853">
        <v>89</v>
      </c>
      <c r="F64" s="256"/>
      <c r="G64" s="696"/>
      <c r="H64" s="696"/>
      <c r="I64" s="696"/>
      <c r="J64" s="696"/>
      <c r="K64" s="152"/>
      <c r="L64" s="106"/>
      <c r="M64" s="83"/>
      <c r="N64" s="104"/>
      <c r="O64" s="91"/>
      <c r="P64" s="651"/>
      <c r="Q64" s="651"/>
      <c r="R64" s="651"/>
      <c r="T64" s="84"/>
      <c r="U64" s="105"/>
      <c r="V64" s="104"/>
      <c r="W64" s="1128"/>
      <c r="X64" s="1120"/>
      <c r="Y64" s="1130"/>
      <c r="Z64" s="1132"/>
      <c r="AA64" s="106"/>
      <c r="AB64" s="106"/>
      <c r="AC64" s="83"/>
      <c r="AD64" s="83"/>
      <c r="AG64" s="83"/>
      <c r="AM64" s="83"/>
      <c r="AN64" s="83"/>
      <c r="AO64" s="83"/>
      <c r="AP64" s="83"/>
    </row>
    <row r="65" spans="1:42" ht="22.2" customHeight="1" x14ac:dyDescent="0.3">
      <c r="A65" s="83"/>
      <c r="B65" s="91"/>
      <c r="C65" s="150"/>
      <c r="D65" s="758" t="s">
        <v>918</v>
      </c>
      <c r="E65" s="755">
        <v>7</v>
      </c>
      <c r="F65" s="478"/>
      <c r="G65" s="696"/>
      <c r="H65" s="696"/>
      <c r="I65" s="696"/>
      <c r="J65" s="696"/>
      <c r="K65" s="152"/>
      <c r="L65" s="106"/>
      <c r="M65" s="83"/>
      <c r="N65" s="104"/>
      <c r="O65" s="91"/>
      <c r="P65" s="1089" t="s">
        <v>1080</v>
      </c>
      <c r="Q65" s="1089"/>
      <c r="R65" s="1089"/>
      <c r="S65" s="1086"/>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919</v>
      </c>
      <c r="E66" s="755">
        <v>1</v>
      </c>
      <c r="F66" s="209"/>
      <c r="G66" s="696"/>
      <c r="H66" s="696"/>
      <c r="I66" s="696"/>
      <c r="J66" s="696"/>
      <c r="K66" s="152"/>
      <c r="L66" s="106"/>
      <c r="M66" s="83"/>
      <c r="N66" s="104"/>
      <c r="O66" s="91"/>
      <c r="P66" s="1089"/>
      <c r="Q66" s="1089"/>
      <c r="R66" s="1089"/>
      <c r="S66" s="1087"/>
      <c r="T66" s="84"/>
      <c r="U66" s="105"/>
      <c r="V66" s="104"/>
      <c r="W66" s="1123" t="s">
        <v>723</v>
      </c>
      <c r="X66" s="1124"/>
      <c r="Y66" s="1125"/>
      <c r="Z66" s="589" t="s">
        <v>342</v>
      </c>
      <c r="AA66" s="106"/>
      <c r="AB66" s="106"/>
      <c r="AC66" s="83"/>
      <c r="AD66" s="83"/>
      <c r="AG66" s="83"/>
      <c r="AM66" s="83"/>
      <c r="AN66" s="83"/>
      <c r="AO66" s="83"/>
      <c r="AP66" s="83"/>
    </row>
    <row r="67" spans="1:42" ht="22.2" customHeight="1" x14ac:dyDescent="0.35">
      <c r="A67" s="83"/>
      <c r="B67" s="91"/>
      <c r="C67" s="150"/>
      <c r="D67" s="749" t="s">
        <v>914</v>
      </c>
      <c r="E67" s="878">
        <v>0.05</v>
      </c>
      <c r="F67" s="470"/>
      <c r="G67" s="696"/>
      <c r="H67" s="696"/>
      <c r="I67" s="696"/>
      <c r="J67" s="696"/>
      <c r="K67" s="152"/>
      <c r="L67" s="106"/>
      <c r="M67" s="83"/>
      <c r="N67" s="104"/>
      <c r="O67" s="91"/>
      <c r="P67" s="1006"/>
      <c r="Q67" s="1006"/>
      <c r="R67" s="651"/>
      <c r="T67" s="84"/>
      <c r="U67" s="105"/>
      <c r="V67" s="104"/>
      <c r="W67" s="1127" t="str">
        <f>+W63</f>
        <v>ADD</v>
      </c>
      <c r="X67" s="1119"/>
      <c r="Y67" s="1129" t="str">
        <f>+Y63</f>
        <v>REMOVE</v>
      </c>
      <c r="Z67" s="1131">
        <v>8</v>
      </c>
      <c r="AA67" s="106"/>
      <c r="AB67" s="106"/>
      <c r="AC67" s="83"/>
      <c r="AD67" s="83"/>
      <c r="AG67" s="83"/>
      <c r="AM67" s="83"/>
      <c r="AN67" s="83"/>
      <c r="AO67" s="83"/>
      <c r="AP67" s="83"/>
    </row>
    <row r="68" spans="1:42" ht="22.2" customHeight="1" x14ac:dyDescent="0.3">
      <c r="A68" s="83"/>
      <c r="B68" s="91"/>
      <c r="C68" s="150"/>
      <c r="D68" s="758" t="s">
        <v>915</v>
      </c>
      <c r="E68" s="878">
        <v>0.05</v>
      </c>
      <c r="F68" s="470"/>
      <c r="G68" s="696"/>
      <c r="H68" s="92"/>
      <c r="I68" s="92"/>
      <c r="J68" s="92"/>
      <c r="K68" s="152"/>
      <c r="L68" s="106"/>
      <c r="M68" s="83"/>
      <c r="N68" s="104"/>
      <c r="O68" s="1007"/>
      <c r="P68" s="1080" t="s">
        <v>1081</v>
      </c>
      <c r="Q68" s="1081"/>
      <c r="R68" s="1082"/>
      <c r="S68" s="1086"/>
      <c r="T68" s="84"/>
      <c r="U68" s="105"/>
      <c r="V68" s="104"/>
      <c r="W68" s="1128"/>
      <c r="X68" s="1120"/>
      <c r="Y68" s="1130"/>
      <c r="Z68" s="1132"/>
      <c r="AA68" s="106"/>
      <c r="AB68" s="106"/>
      <c r="AC68" s="83"/>
      <c r="AD68" s="83"/>
      <c r="AG68" s="83"/>
      <c r="AM68" s="83"/>
      <c r="AN68" s="83"/>
      <c r="AO68" s="83"/>
      <c r="AP68" s="83"/>
    </row>
    <row r="69" spans="1:42" ht="22.2" customHeight="1" x14ac:dyDescent="0.3">
      <c r="A69" s="83"/>
      <c r="B69" s="91"/>
      <c r="C69" s="150"/>
      <c r="D69" s="758" t="s">
        <v>916</v>
      </c>
      <c r="E69" s="853">
        <v>5.0000000000000001E-3</v>
      </c>
      <c r="F69" s="470"/>
      <c r="G69" s="696"/>
      <c r="H69" s="92"/>
      <c r="I69" s="92"/>
      <c r="J69" s="92"/>
      <c r="K69" s="152"/>
      <c r="L69" s="106"/>
      <c r="M69" s="83"/>
      <c r="N69" s="104"/>
      <c r="O69" s="1007"/>
      <c r="P69" s="1083"/>
      <c r="Q69" s="1084"/>
      <c r="R69" s="1085"/>
      <c r="S69" s="1087"/>
      <c r="T69" s="84"/>
      <c r="U69" s="105"/>
      <c r="V69" s="104"/>
      <c r="AA69" s="106"/>
      <c r="AB69" s="106"/>
      <c r="AC69" s="83"/>
      <c r="AD69" s="83"/>
      <c r="AG69" s="83"/>
      <c r="AM69" s="83"/>
      <c r="AN69" s="83"/>
      <c r="AO69" s="83"/>
      <c r="AP69" s="83"/>
    </row>
    <row r="70" spans="1:42" ht="22.2" customHeight="1" x14ac:dyDescent="0.35">
      <c r="A70" s="83"/>
      <c r="B70" s="91"/>
      <c r="C70" s="150"/>
      <c r="D70" s="759" t="s">
        <v>920</v>
      </c>
      <c r="E70" s="854">
        <v>5.0000000000000001E-3</v>
      </c>
      <c r="F70" s="470"/>
      <c r="G70" s="696"/>
      <c r="H70" s="92"/>
      <c r="I70" s="92"/>
      <c r="J70" s="92"/>
      <c r="K70" s="152"/>
      <c r="L70" s="106"/>
      <c r="M70" s="83"/>
      <c r="N70" s="104"/>
      <c r="O70" s="1007"/>
      <c r="P70" s="651"/>
      <c r="Q70" s="651"/>
      <c r="R70" s="651"/>
      <c r="T70" s="84"/>
      <c r="U70" s="105"/>
      <c r="V70" s="104"/>
      <c r="W70" s="1122" t="s">
        <v>268</v>
      </c>
      <c r="X70" s="1122"/>
      <c r="Y70" s="1122"/>
      <c r="Z70" s="1122"/>
      <c r="AA70" s="106"/>
      <c r="AB70" s="106"/>
      <c r="AC70" s="83"/>
      <c r="AD70" s="83"/>
      <c r="AG70" s="83"/>
      <c r="AM70" s="83"/>
      <c r="AN70" s="83"/>
      <c r="AO70" s="83"/>
      <c r="AP70" s="83"/>
    </row>
    <row r="71" spans="1:42" ht="22.2" customHeight="1" x14ac:dyDescent="0.3">
      <c r="A71" s="83"/>
      <c r="B71" s="91"/>
      <c r="C71" s="150"/>
      <c r="D71" s="714"/>
      <c r="E71" s="714"/>
      <c r="F71" s="696"/>
      <c r="G71" s="696"/>
      <c r="H71" s="547" t="s">
        <v>360</v>
      </c>
      <c r="I71" s="547" t="s">
        <v>665</v>
      </c>
      <c r="J71" s="524" t="s">
        <v>235</v>
      </c>
      <c r="K71" s="152"/>
      <c r="L71" s="106"/>
      <c r="M71" s="83"/>
      <c r="N71" s="104"/>
      <c r="O71" s="91"/>
      <c r="P71" s="1080" t="s">
        <v>1082</v>
      </c>
      <c r="Q71" s="1081"/>
      <c r="R71" s="1082"/>
      <c r="S71" s="1088"/>
      <c r="T71" s="84"/>
      <c r="U71" s="105"/>
      <c r="V71" s="104"/>
      <c r="W71" s="1121" t="s">
        <v>726</v>
      </c>
      <c r="X71" s="1121"/>
      <c r="Y71" s="1121"/>
      <c r="Z71" s="1121"/>
      <c r="AA71" s="106"/>
      <c r="AB71" s="106"/>
      <c r="AC71" s="83"/>
      <c r="AD71" s="83"/>
      <c r="AG71" s="83"/>
      <c r="AM71" s="83"/>
      <c r="AN71" s="83"/>
      <c r="AO71" s="83"/>
      <c r="AP71" s="83"/>
    </row>
    <row r="72" spans="1:42" ht="22.2" customHeight="1" x14ac:dyDescent="0.3">
      <c r="A72" s="83"/>
      <c r="B72" s="91"/>
      <c r="C72" s="150"/>
      <c r="D72" s="714"/>
      <c r="E72" s="714"/>
      <c r="F72" s="696"/>
      <c r="G72" s="696"/>
      <c r="H72" s="592" t="s">
        <v>754</v>
      </c>
      <c r="I72" s="535">
        <f>+E58</f>
        <v>2.774</v>
      </c>
      <c r="J72" s="535" t="s">
        <v>744</v>
      </c>
      <c r="K72" s="152"/>
      <c r="L72" s="106"/>
      <c r="M72" s="83"/>
      <c r="N72" s="104"/>
      <c r="O72" s="91"/>
      <c r="P72" s="1083"/>
      <c r="Q72" s="1084"/>
      <c r="R72" s="1085"/>
      <c r="S72" s="1088"/>
      <c r="T72" s="84"/>
      <c r="U72" s="105"/>
      <c r="V72" s="104"/>
      <c r="W72" s="1121"/>
      <c r="X72" s="1121"/>
      <c r="Y72" s="1121"/>
      <c r="Z72" s="1121"/>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121"/>
      <c r="X73" s="1121"/>
      <c r="Y73" s="1121"/>
      <c r="Z73" s="1121"/>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 ref="C3:K3"/>
    <mergeCell ref="O3:AA3"/>
    <mergeCell ref="I5:J5"/>
    <mergeCell ref="D5:E5"/>
    <mergeCell ref="C12:K12"/>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AE3:AP3"/>
    <mergeCell ref="X36:AA36"/>
    <mergeCell ref="X37:AA37"/>
    <mergeCell ref="X42:AA42"/>
    <mergeCell ref="X38:AA38"/>
    <mergeCell ref="P68:R69"/>
    <mergeCell ref="S68:S69"/>
    <mergeCell ref="P71:R72"/>
    <mergeCell ref="S71:S72"/>
    <mergeCell ref="P59:R60"/>
    <mergeCell ref="S59:S60"/>
    <mergeCell ref="P62:R63"/>
    <mergeCell ref="S62:S63"/>
    <mergeCell ref="P65:R66"/>
    <mergeCell ref="S65:S66"/>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zoomScale="55" zoomScaleNormal="5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J3" s="1102" t="s">
        <v>668</v>
      </c>
      <c r="K3" s="1103"/>
      <c r="L3" s="1103"/>
      <c r="M3" s="1104"/>
      <c r="N3" s="210"/>
      <c r="O3" s="1102" t="str">
        <f>+E6</f>
        <v>NG Pre-treating</v>
      </c>
      <c r="P3" s="1103"/>
      <c r="Q3" s="1103"/>
      <c r="R3" s="1103"/>
      <c r="S3" s="1104"/>
      <c r="T3" s="105"/>
      <c r="U3" s="124"/>
      <c r="V3" s="112"/>
      <c r="W3" s="1168" t="str">
        <f>+E6&amp;" Diagram"</f>
        <v>NG Pre-treating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J5" s="1162"/>
      <c r="K5" s="1163"/>
      <c r="L5" s="214" t="s">
        <v>470</v>
      </c>
      <c r="M5" s="500" t="s">
        <v>504</v>
      </c>
      <c r="N5" s="501"/>
      <c r="O5" s="1039" t="s">
        <v>580</v>
      </c>
      <c r="P5" s="1040"/>
      <c r="Q5" s="1040"/>
      <c r="R5" s="1040"/>
      <c r="S5" s="1041"/>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496</v>
      </c>
      <c r="D6" s="277" t="s">
        <v>678</v>
      </c>
      <c r="E6" s="548" t="str">
        <f>+'Plant Overview'!V37</f>
        <v>NG Pre-treating</v>
      </c>
      <c r="F6" s="105"/>
      <c r="G6" s="85"/>
      <c r="H6" s="395" t="s">
        <v>262</v>
      </c>
      <c r="J6" s="1164"/>
      <c r="K6" s="1165"/>
      <c r="L6" s="189" t="s">
        <v>471</v>
      </c>
      <c r="M6" s="86" t="s">
        <v>505</v>
      </c>
      <c r="N6" s="501"/>
      <c r="O6" s="1107" t="str">
        <f>+'Plant Overview'!X37</f>
        <v>Desulphurizer, pre-reformer, heat exchange</v>
      </c>
      <c r="P6" s="1108"/>
      <c r="Q6" s="1108"/>
      <c r="R6" s="1108"/>
      <c r="S6" s="1109"/>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677</v>
      </c>
      <c r="E7" s="548" t="str">
        <f>+'Plant Overview'!W37</f>
        <v>U-100</v>
      </c>
      <c r="F7" s="105"/>
      <c r="G7" s="96"/>
      <c r="H7" s="395" t="s">
        <v>263</v>
      </c>
      <c r="J7" s="1164"/>
      <c r="K7" s="1165"/>
      <c r="L7" s="214" t="s">
        <v>465</v>
      </c>
      <c r="M7" s="500" t="s">
        <v>503</v>
      </c>
      <c r="N7" s="501"/>
      <c r="O7" s="1110"/>
      <c r="P7" s="1111"/>
      <c r="Q7" s="1111"/>
      <c r="R7" s="1111"/>
      <c r="S7" s="1112"/>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419</v>
      </c>
      <c r="F8" s="105"/>
      <c r="G8" s="95"/>
      <c r="H8" s="724" t="s">
        <v>264</v>
      </c>
      <c r="J8" s="1164"/>
      <c r="K8" s="1165"/>
      <c r="L8" s="214" t="s">
        <v>466</v>
      </c>
      <c r="M8" s="500" t="s">
        <v>501</v>
      </c>
      <c r="N8" s="501"/>
      <c r="O8" s="1110"/>
      <c r="P8" s="1111"/>
      <c r="Q8" s="1111"/>
      <c r="R8" s="1111"/>
      <c r="S8" s="1112"/>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726" t="s">
        <v>268</v>
      </c>
      <c r="J9" s="1166"/>
      <c r="K9" s="1167"/>
      <c r="L9" s="214" t="s">
        <v>467</v>
      </c>
      <c r="M9" s="500" t="s">
        <v>502</v>
      </c>
      <c r="N9" s="501"/>
      <c r="O9" s="1113"/>
      <c r="P9" s="1114"/>
      <c r="Q9" s="1114"/>
      <c r="R9" s="1114"/>
      <c r="S9" s="1115"/>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572</v>
      </c>
      <c r="E11" s="1103"/>
      <c r="F11" s="1103"/>
      <c r="G11" s="1103"/>
      <c r="H11" s="1103"/>
      <c r="I11" s="1103"/>
      <c r="J11" s="1103"/>
      <c r="K11" s="1103"/>
      <c r="L11" s="1104"/>
      <c r="M11" s="1102" t="s">
        <v>581</v>
      </c>
      <c r="N11" s="1103"/>
      <c r="O11" s="1103"/>
      <c r="P11" s="1103"/>
      <c r="Q11" s="1103"/>
      <c r="R11" s="1104"/>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476</v>
      </c>
      <c r="H12" s="541" t="s">
        <v>235</v>
      </c>
      <c r="I12" s="741" t="s">
        <v>236</v>
      </c>
      <c r="J12" s="730" t="s">
        <v>341</v>
      </c>
      <c r="K12" s="540" t="s">
        <v>340</v>
      </c>
      <c r="L12" s="540" t="s">
        <v>535</v>
      </c>
      <c r="M12" s="589" t="s">
        <v>230</v>
      </c>
      <c r="N12" s="589" t="s">
        <v>231</v>
      </c>
      <c r="O12" s="589" t="s">
        <v>232</v>
      </c>
      <c r="P12" s="589" t="s">
        <v>225</v>
      </c>
      <c r="Q12" s="589" t="s">
        <v>233</v>
      </c>
      <c r="R12" s="542" t="s">
        <v>266</v>
      </c>
      <c r="S12" s="589" t="s">
        <v>660</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940</v>
      </c>
      <c r="D13" s="267" t="s">
        <v>252</v>
      </c>
      <c r="E13" s="267" t="s">
        <v>117</v>
      </c>
      <c r="F13" s="392">
        <f>+X39*1000/3600/AD39</f>
        <v>691.55883312810329</v>
      </c>
      <c r="G13" s="858">
        <f>+AB39</f>
        <v>33.6</v>
      </c>
      <c r="H13" s="858" t="s">
        <v>352</v>
      </c>
      <c r="I13" s="858" t="s">
        <v>561</v>
      </c>
      <c r="J13" s="858" t="str">
        <f>+IF(F13&gt;'Equipment Data'!$L$126,"yes","No")</f>
        <v>No</v>
      </c>
      <c r="K13" s="858">
        <v>0.67</v>
      </c>
      <c r="L13" s="858"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941</v>
      </c>
      <c r="D14" s="267" t="s">
        <v>252</v>
      </c>
      <c r="E14" s="267" t="s">
        <v>117</v>
      </c>
      <c r="F14" s="392">
        <f t="shared" ref="F14:F16" si="1">+X40*1000/3600/AD40</f>
        <v>185.66863118330858</v>
      </c>
      <c r="G14" s="858">
        <f t="shared" ref="G14:G16" si="2">+AB40</f>
        <v>33.6</v>
      </c>
      <c r="H14" s="858" t="s">
        <v>352</v>
      </c>
      <c r="I14" s="858" t="s">
        <v>561</v>
      </c>
      <c r="J14" s="858" t="str">
        <f>+IF(F14&gt;'Equipment Data'!$L$126,"yes","No")</f>
        <v>No</v>
      </c>
      <c r="K14" s="858">
        <v>0.67</v>
      </c>
      <c r="L14" s="858"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942</v>
      </c>
      <c r="D15" s="267" t="s">
        <v>252</v>
      </c>
      <c r="E15" s="267" t="s">
        <v>117</v>
      </c>
      <c r="F15" s="392">
        <f t="shared" si="1"/>
        <v>232.22195072639542</v>
      </c>
      <c r="G15" s="858">
        <f t="shared" si="2"/>
        <v>33.6</v>
      </c>
      <c r="H15" s="858" t="s">
        <v>352</v>
      </c>
      <c r="I15" s="858" t="s">
        <v>562</v>
      </c>
      <c r="J15" s="858" t="str">
        <f>+IF(F15&gt;'Equipment Data'!$L$126,"yes","No")</f>
        <v>No</v>
      </c>
      <c r="K15" s="858">
        <v>0.67</v>
      </c>
      <c r="L15" s="858" t="s">
        <v>530</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946</v>
      </c>
      <c r="D16" s="267" t="s">
        <v>252</v>
      </c>
      <c r="E16" s="267" t="s">
        <v>117</v>
      </c>
      <c r="F16" s="392">
        <f t="shared" si="1"/>
        <v>689.89615853486134</v>
      </c>
      <c r="G16" s="858">
        <f t="shared" si="2"/>
        <v>33.6</v>
      </c>
      <c r="H16" s="858" t="s">
        <v>352</v>
      </c>
      <c r="I16" s="858" t="s">
        <v>562</v>
      </c>
      <c r="J16" s="858" t="str">
        <f>+IF(F16&gt;'Equipment Data'!$L$126,"yes","No")</f>
        <v>No</v>
      </c>
      <c r="K16" s="858">
        <v>0.67</v>
      </c>
      <c r="L16" s="858" t="s">
        <v>530</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943</v>
      </c>
      <c r="D17" s="267" t="s">
        <v>269</v>
      </c>
      <c r="E17" s="267" t="s">
        <v>156</v>
      </c>
      <c r="F17" s="858">
        <f>1000*0.01503</f>
        <v>15.03</v>
      </c>
      <c r="G17" s="858">
        <v>37</v>
      </c>
      <c r="H17" s="858" t="s">
        <v>474</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96" t="str">
        <f>+E6&amp;" Calculations"</f>
        <v>NG Pre-treating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50" t="s">
        <v>822</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76" t="s">
        <v>823</v>
      </c>
      <c r="X37" s="1093"/>
      <c r="Y37" s="1094"/>
      <c r="Z37" s="1147" t="s">
        <v>824</v>
      </c>
      <c r="AA37" s="1148"/>
      <c r="AB37" s="1147" t="s">
        <v>825</v>
      </c>
      <c r="AC37" s="1149"/>
      <c r="AD37" s="865" t="s">
        <v>826</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827</v>
      </c>
      <c r="Y38" s="865" t="s">
        <v>828</v>
      </c>
      <c r="Z38" s="808" t="s">
        <v>829</v>
      </c>
      <c r="AA38" s="808" t="s">
        <v>830</v>
      </c>
      <c r="AB38" s="810" t="s">
        <v>829</v>
      </c>
      <c r="AC38" s="808" t="s">
        <v>830</v>
      </c>
      <c r="AD38" s="186" t="s">
        <v>831</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832</v>
      </c>
      <c r="Z39" s="671" t="s">
        <v>833</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836</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836</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836</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3" t="s">
        <v>537</v>
      </c>
      <c r="E44" s="1103"/>
      <c r="F44" s="1103"/>
      <c r="G44" s="1103"/>
      <c r="H44" s="1103"/>
      <c r="I44" s="1103"/>
      <c r="J44" s="1103"/>
      <c r="K44" s="1103"/>
      <c r="L44" s="1103"/>
      <c r="M44" s="1171"/>
      <c r="N44" s="1171"/>
      <c r="O44" s="1171"/>
      <c r="P44" s="1171"/>
      <c r="Q44" s="1171"/>
      <c r="R44" s="1171"/>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740" t="s">
        <v>464</v>
      </c>
      <c r="G45" s="740" t="s">
        <v>315</v>
      </c>
      <c r="H45" s="740" t="s">
        <v>509</v>
      </c>
      <c r="I45" s="538" t="s">
        <v>506</v>
      </c>
      <c r="J45" s="538" t="s">
        <v>235</v>
      </c>
      <c r="K45" s="861" t="s">
        <v>466</v>
      </c>
      <c r="L45" s="861" t="s">
        <v>467</v>
      </c>
      <c r="M45" s="589" t="s">
        <v>586</v>
      </c>
      <c r="N45" s="589" t="s">
        <v>469</v>
      </c>
      <c r="O45" s="589"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944</v>
      </c>
      <c r="D46" s="855" t="s">
        <v>772</v>
      </c>
      <c r="E46" s="856" t="s">
        <v>976</v>
      </c>
      <c r="F46" s="383" t="s">
        <v>456</v>
      </c>
      <c r="G46" s="383">
        <v>2008</v>
      </c>
      <c r="H46" s="383" t="s">
        <v>488</v>
      </c>
      <c r="I46" s="856" t="s">
        <v>856</v>
      </c>
      <c r="J46" s="856" t="s">
        <v>734</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945</v>
      </c>
      <c r="D47" s="857" t="s">
        <v>773</v>
      </c>
      <c r="E47" s="874" t="s">
        <v>975</v>
      </c>
      <c r="F47" s="254" t="s">
        <v>456</v>
      </c>
      <c r="G47" s="254">
        <v>2005</v>
      </c>
      <c r="H47" s="254" t="s">
        <v>488</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50" t="s">
        <v>359</v>
      </c>
      <c r="X48" s="1151"/>
      <c r="Y48" s="865" t="s">
        <v>817</v>
      </c>
      <c r="Z48" s="881"/>
      <c r="AA48" s="881"/>
      <c r="AB48" s="881"/>
      <c r="AC48" s="881"/>
      <c r="AD48" s="507"/>
      <c r="AE48" s="507"/>
      <c r="AF48" s="517"/>
      <c r="AG48" s="262" t="s">
        <v>687</v>
      </c>
      <c r="AH48" s="262" t="s">
        <v>360</v>
      </c>
      <c r="AI48" s="1172" t="s">
        <v>580</v>
      </c>
      <c r="AJ48" s="1173"/>
      <c r="AK48" s="1173"/>
      <c r="AL48" s="1173"/>
      <c r="AM48" s="1173"/>
      <c r="AN48" s="1174"/>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52" t="s">
        <v>818</v>
      </c>
      <c r="X49" s="1153"/>
      <c r="Y49" s="807">
        <v>40</v>
      </c>
      <c r="Z49" s="507"/>
      <c r="AA49" s="507"/>
      <c r="AB49" s="507"/>
      <c r="AC49" s="507"/>
      <c r="AD49" s="507"/>
      <c r="AE49" s="507"/>
      <c r="AF49" s="517"/>
      <c r="AG49" s="86">
        <v>1</v>
      </c>
      <c r="AH49" s="86" t="str">
        <f>+E46</f>
        <v>Manzolini [1]</v>
      </c>
      <c r="AI49" s="1161" t="s">
        <v>974</v>
      </c>
      <c r="AJ49" s="1161"/>
      <c r="AK49" s="1161"/>
      <c r="AL49" s="1161"/>
      <c r="AM49" s="1161"/>
      <c r="AN49" s="1161"/>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46" t="s">
        <v>819</v>
      </c>
      <c r="X50" s="1106"/>
      <c r="Y50" s="807">
        <v>0.7</v>
      </c>
      <c r="Z50" s="507"/>
      <c r="AA50" s="507"/>
      <c r="AB50" s="507"/>
      <c r="AC50" s="507"/>
      <c r="AD50" s="507"/>
      <c r="AE50" s="507"/>
      <c r="AF50" s="517"/>
      <c r="AG50" s="866">
        <v>2</v>
      </c>
      <c r="AH50" s="866" t="str">
        <f>+E47</f>
        <v>Manzolini [2]</v>
      </c>
      <c r="AI50" s="1142" t="s">
        <v>977</v>
      </c>
      <c r="AJ50" s="1142"/>
      <c r="AK50" s="1142"/>
      <c r="AL50" s="1142"/>
      <c r="AM50" s="1142"/>
      <c r="AN50" s="1142"/>
      <c r="AO50" s="113"/>
      <c r="AP50" s="105"/>
      <c r="AQ50" s="241"/>
      <c r="AR50" s="452"/>
    </row>
    <row r="51" spans="1:57" ht="16.2" customHeight="1" x14ac:dyDescent="0.3">
      <c r="A51" s="83"/>
      <c r="B51" s="104"/>
      <c r="C51" s="801" t="s">
        <v>775</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46" t="s">
        <v>820</v>
      </c>
      <c r="X51" s="1106"/>
      <c r="Y51" s="807">
        <v>1500</v>
      </c>
      <c r="Z51" s="507"/>
      <c r="AA51" s="507"/>
      <c r="AB51" s="507"/>
      <c r="AC51" s="507"/>
      <c r="AD51" s="507"/>
      <c r="AE51" s="507"/>
      <c r="AF51" s="517"/>
      <c r="AG51" s="921">
        <v>3</v>
      </c>
      <c r="AH51" s="921" t="s">
        <v>826</v>
      </c>
      <c r="AI51" s="1154" t="s">
        <v>1028</v>
      </c>
      <c r="AJ51" s="1154"/>
      <c r="AK51" s="1154"/>
      <c r="AL51" s="1154"/>
      <c r="AM51" s="1154"/>
      <c r="AN51" s="1154"/>
      <c r="AO51" s="113"/>
      <c r="AP51" s="105"/>
      <c r="AQ51" s="241"/>
      <c r="AR51" s="452"/>
    </row>
    <row r="52" spans="1:57" ht="16.2" customHeight="1" x14ac:dyDescent="0.3">
      <c r="A52" s="83"/>
      <c r="B52" s="104"/>
      <c r="C52" s="224"/>
      <c r="D52" s="722"/>
      <c r="E52" s="723"/>
      <c r="F52" s="723"/>
      <c r="G52" s="723"/>
      <c r="H52" s="723"/>
      <c r="I52" s="723"/>
      <c r="J52" s="723"/>
      <c r="K52" s="723"/>
      <c r="L52" s="724"/>
      <c r="M52" s="549" t="s">
        <v>585</v>
      </c>
      <c r="N52" s="541" t="s">
        <v>464</v>
      </c>
      <c r="O52" s="731" t="s">
        <v>315</v>
      </c>
      <c r="P52" s="1155" t="s">
        <v>477</v>
      </c>
      <c r="Q52" s="1156"/>
      <c r="R52" s="589" t="s">
        <v>640</v>
      </c>
      <c r="S52" s="833" t="s">
        <v>639</v>
      </c>
      <c r="T52" s="106"/>
      <c r="U52" s="105"/>
      <c r="V52" s="120"/>
      <c r="W52" s="1147" t="s">
        <v>821</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489</v>
      </c>
      <c r="N53" s="531" t="s">
        <v>487</v>
      </c>
      <c r="O53" s="733">
        <v>2001</v>
      </c>
      <c r="P53" s="1077" t="s">
        <v>478</v>
      </c>
      <c r="Q53" s="1079"/>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641</v>
      </c>
      <c r="N54" s="140"/>
      <c r="O54" s="146"/>
      <c r="P54" s="1077"/>
      <c r="Q54" s="1079"/>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NG Pre-treating</v>
      </c>
      <c r="C57" s="1103"/>
      <c r="D57" s="1103"/>
      <c r="E57" s="1103"/>
      <c r="F57" s="1103"/>
      <c r="G57" s="1104"/>
      <c r="H57" s="1102" t="str">
        <f>+"Estimate Benchmark: "&amp;E6</f>
        <v>Estimate Benchmark: NG Pre-treating</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1020</v>
      </c>
      <c r="C81" s="1135"/>
      <c r="D81" s="1135"/>
      <c r="E81" s="1135"/>
      <c r="F81" s="1135"/>
      <c r="G81" s="1136"/>
      <c r="H81" s="128" t="s">
        <v>687</v>
      </c>
      <c r="I81" s="128" t="s">
        <v>360</v>
      </c>
      <c r="J81" s="1133" t="s">
        <v>580</v>
      </c>
      <c r="K81" s="1133"/>
      <c r="L81" s="1133"/>
      <c r="M81" s="1133"/>
      <c r="N81" s="113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916"/>
      <c r="I82" s="916"/>
      <c r="J82" s="1143"/>
      <c r="K82" s="1144"/>
      <c r="L82" s="1144"/>
      <c r="M82" s="1144"/>
      <c r="N82" s="114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 ref="H57:N57"/>
    <mergeCell ref="P52:Q52"/>
    <mergeCell ref="C8:C9"/>
    <mergeCell ref="D8:D9"/>
    <mergeCell ref="E8:E9"/>
    <mergeCell ref="D11:L11"/>
    <mergeCell ref="M11:R11"/>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668</v>
      </c>
      <c r="K3" s="1103"/>
      <c r="L3" s="1103"/>
      <c r="M3" s="1104"/>
      <c r="N3" s="210"/>
      <c r="O3" s="1102" t="str">
        <f>+E6</f>
        <v>GSR</v>
      </c>
      <c r="P3" s="1103"/>
      <c r="Q3" s="1103"/>
      <c r="R3" s="1103"/>
      <c r="S3" s="1104"/>
      <c r="T3" s="106"/>
      <c r="U3" s="106"/>
      <c r="V3" s="112"/>
      <c r="W3" s="1168" t="str">
        <f>+E6&amp;" Diagram"</f>
        <v>GSR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470</v>
      </c>
      <c r="M5" s="500" t="s">
        <v>504</v>
      </c>
      <c r="N5" s="501"/>
      <c r="O5" s="1039" t="s">
        <v>580</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496</v>
      </c>
      <c r="D6" s="277" t="s">
        <v>678</v>
      </c>
      <c r="E6" s="548" t="str">
        <f>+'Plant Overview'!V38</f>
        <v>GSR</v>
      </c>
      <c r="F6" s="105"/>
      <c r="G6" s="85"/>
      <c r="H6" s="395" t="s">
        <v>262</v>
      </c>
      <c r="I6" s="92"/>
      <c r="J6" s="1164"/>
      <c r="K6" s="1165"/>
      <c r="L6" s="189" t="s">
        <v>471</v>
      </c>
      <c r="M6" s="86" t="s">
        <v>505</v>
      </c>
      <c r="N6" s="501"/>
      <c r="O6" s="1107" t="str">
        <f>+'Plant Overview'!X38</f>
        <v>Gas Switching Reforming Island</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677</v>
      </c>
      <c r="E7" s="548" t="str">
        <f>+'Plant Overview'!W38</f>
        <v>U-200</v>
      </c>
      <c r="F7" s="105"/>
      <c r="G7" s="96"/>
      <c r="H7" s="395" t="s">
        <v>263</v>
      </c>
      <c r="I7" s="92"/>
      <c r="J7" s="1164"/>
      <c r="K7" s="1165"/>
      <c r="L7" s="214" t="s">
        <v>465</v>
      </c>
      <c r="M7" s="500" t="s">
        <v>503</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419</v>
      </c>
      <c r="F8" s="105"/>
      <c r="G8" s="95"/>
      <c r="H8" s="893" t="s">
        <v>264</v>
      </c>
      <c r="I8" s="92"/>
      <c r="J8" s="1164"/>
      <c r="K8" s="1165"/>
      <c r="L8" s="214" t="s">
        <v>466</v>
      </c>
      <c r="M8" s="500" t="s">
        <v>501</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467</v>
      </c>
      <c r="M9" s="500" t="s">
        <v>502</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572</v>
      </c>
      <c r="E11" s="1103"/>
      <c r="F11" s="1103"/>
      <c r="G11" s="1103"/>
      <c r="H11" s="1103"/>
      <c r="I11" s="1103"/>
      <c r="J11" s="1103"/>
      <c r="K11" s="1103"/>
      <c r="L11" s="1104"/>
      <c r="M11" s="1102" t="s">
        <v>581</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527</v>
      </c>
      <c r="D13" s="267" t="s">
        <v>260</v>
      </c>
      <c r="E13" s="267" t="s">
        <v>201</v>
      </c>
      <c r="F13" s="168">
        <f>+X47*X47*PI()/4*X48*X47</f>
        <v>2.5112870855770466</v>
      </c>
      <c r="G13" s="889">
        <v>1</v>
      </c>
      <c r="H13" s="889" t="s">
        <v>472</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775</v>
      </c>
      <c r="D14" s="267" t="s">
        <v>260</v>
      </c>
      <c r="E14" s="267" t="s">
        <v>201</v>
      </c>
      <c r="F14" s="168">
        <f>+F13+Q46</f>
        <v>7.5668936685562631</v>
      </c>
      <c r="G14" s="889">
        <f>+X39</f>
        <v>32.700000000000003</v>
      </c>
      <c r="H14" s="889" t="s">
        <v>472</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96" t="str">
        <f>+E6&amp;" Calculations"</f>
        <v>GSR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84" t="s">
        <v>786</v>
      </c>
      <c r="X36" s="1185"/>
      <c r="Y36" s="1186"/>
      <c r="AA36" s="1187" t="s">
        <v>814</v>
      </c>
      <c r="AB36" s="1188"/>
      <c r="AC36" s="1189"/>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777</v>
      </c>
      <c r="X37" s="792">
        <v>782.2</v>
      </c>
      <c r="Y37" s="781" t="s">
        <v>776</v>
      </c>
      <c r="Z37" s="509"/>
      <c r="AA37" s="803" t="s">
        <v>796</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778</v>
      </c>
      <c r="X38" s="787">
        <v>1025</v>
      </c>
      <c r="Y38" s="783" t="s">
        <v>779</v>
      </c>
      <c r="Z38" s="509"/>
      <c r="AA38" s="791" t="s">
        <v>808</v>
      </c>
      <c r="AB38" s="795">
        <v>7850</v>
      </c>
      <c r="AC38" s="709" t="s">
        <v>809</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780</v>
      </c>
      <c r="X39" s="787">
        <v>32.700000000000003</v>
      </c>
      <c r="Y39" s="783" t="s">
        <v>781</v>
      </c>
      <c r="Z39" s="509"/>
      <c r="AA39" s="791" t="s">
        <v>810</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782</v>
      </c>
      <c r="X40" s="788">
        <f>X37*8.314*(273+X38)/X39/100000</f>
        <v>2.5813968251987767</v>
      </c>
      <c r="Y40" s="783" t="s">
        <v>351</v>
      </c>
      <c r="Z40" s="509"/>
      <c r="AA40" s="791" t="s">
        <v>797</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783</v>
      </c>
      <c r="X41" s="790">
        <v>0.58333000000000002</v>
      </c>
      <c r="Y41" s="783" t="s">
        <v>784</v>
      </c>
      <c r="Z41" s="509"/>
      <c r="AA41" s="384" t="s">
        <v>800</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785</v>
      </c>
      <c r="X42" s="785">
        <f>X40/X41</f>
        <v>4.4252769876378322</v>
      </c>
      <c r="Y42" s="786" t="s">
        <v>351</v>
      </c>
      <c r="Z42" s="509"/>
      <c r="AA42" s="692" t="s">
        <v>813</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90" t="s">
        <v>798</v>
      </c>
      <c r="X43" s="1191"/>
      <c r="Y43" s="1192"/>
      <c r="Z43" s="509"/>
      <c r="AA43" s="369" t="s">
        <v>815</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103" t="s">
        <v>537</v>
      </c>
      <c r="E44" s="1103"/>
      <c r="F44" s="1103"/>
      <c r="G44" s="1103"/>
      <c r="H44" s="1103"/>
      <c r="I44" s="1103"/>
      <c r="J44" s="1103"/>
      <c r="K44" s="1103"/>
      <c r="L44" s="1103"/>
      <c r="M44" s="1171"/>
      <c r="N44" s="1171"/>
      <c r="O44" s="1171"/>
      <c r="P44" s="1171"/>
      <c r="Q44" s="1171"/>
      <c r="R44" s="1171"/>
      <c r="S44" s="443"/>
      <c r="T44" s="950">
        <f t="shared" ca="1" si="0"/>
        <v>0</v>
      </c>
      <c r="U44" s="105"/>
      <c r="V44" s="499"/>
      <c r="W44" s="779" t="s">
        <v>787</v>
      </c>
      <c r="X44" s="780">
        <v>0.6</v>
      </c>
      <c r="Y44" s="781" t="s">
        <v>788</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499"/>
      <c r="W45" s="782" t="s">
        <v>789</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799</v>
      </c>
      <c r="D46" s="885" t="s">
        <v>793</v>
      </c>
      <c r="E46" s="886"/>
      <c r="F46" s="383" t="s">
        <v>487</v>
      </c>
      <c r="G46" s="383">
        <v>2020</v>
      </c>
      <c r="H46" s="383" t="s">
        <v>478</v>
      </c>
      <c r="I46" s="383" t="s">
        <v>794</v>
      </c>
      <c r="J46" s="279" t="s">
        <v>472</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790</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801</v>
      </c>
      <c r="D47" s="888" t="s">
        <v>802</v>
      </c>
      <c r="E47" s="889"/>
      <c r="F47" s="254" t="s">
        <v>487</v>
      </c>
      <c r="G47" s="254">
        <v>2020</v>
      </c>
      <c r="H47" s="254" t="s">
        <v>478</v>
      </c>
      <c r="I47" s="393" t="s">
        <v>803</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791</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804</v>
      </c>
      <c r="D48" s="888" t="s">
        <v>805</v>
      </c>
      <c r="E48" s="889"/>
      <c r="F48" s="254" t="s">
        <v>456</v>
      </c>
      <c r="G48" s="254">
        <v>2020</v>
      </c>
      <c r="H48" s="254" t="s">
        <v>488</v>
      </c>
      <c r="I48" s="889" t="s">
        <v>806</v>
      </c>
      <c r="J48" s="889" t="s">
        <v>807</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792</v>
      </c>
      <c r="X48" s="785">
        <v>3</v>
      </c>
      <c r="Y48" s="786" t="s">
        <v>354</v>
      </c>
      <c r="Z48" s="507"/>
      <c r="AA48" s="507"/>
      <c r="AB48" s="507"/>
      <c r="AC48" s="507"/>
      <c r="AD48" s="507"/>
      <c r="AE48" s="507"/>
      <c r="AF48" s="517"/>
      <c r="AG48" s="262" t="s">
        <v>687</v>
      </c>
      <c r="AH48" s="262" t="s">
        <v>360</v>
      </c>
      <c r="AI48" s="1172" t="s">
        <v>580</v>
      </c>
      <c r="AJ48" s="1173"/>
      <c r="AK48" s="1173"/>
      <c r="AL48" s="1173"/>
      <c r="AM48" s="1173"/>
      <c r="AN48" s="1174"/>
      <c r="AO48" s="113"/>
      <c r="AP48" s="105"/>
      <c r="AQ48" s="241"/>
      <c r="AR48" s="452"/>
    </row>
    <row r="49" spans="1:57" ht="16.2" customHeight="1" x14ac:dyDescent="0.3">
      <c r="A49" s="83"/>
      <c r="B49" s="104"/>
      <c r="C49" s="384" t="s">
        <v>811</v>
      </c>
      <c r="D49" s="888" t="s">
        <v>812</v>
      </c>
      <c r="E49" s="889"/>
      <c r="F49" s="254" t="s">
        <v>487</v>
      </c>
      <c r="G49" s="254">
        <v>2020</v>
      </c>
      <c r="H49" s="254" t="s">
        <v>478</v>
      </c>
      <c r="I49" s="889" t="s">
        <v>806</v>
      </c>
      <c r="J49" s="889" t="s">
        <v>807</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978</v>
      </c>
      <c r="AI49" s="1177" t="s">
        <v>979</v>
      </c>
      <c r="AJ49" s="1177"/>
      <c r="AK49" s="1177"/>
      <c r="AL49" s="1177"/>
      <c r="AM49" s="1177"/>
      <c r="AN49" s="117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775</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5" t="s">
        <v>477</v>
      </c>
      <c r="Q52" s="1156"/>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7" t="s">
        <v>478</v>
      </c>
      <c r="Q53" s="1079"/>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7"/>
      <c r="Q54" s="1079"/>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GSR</v>
      </c>
      <c r="C57" s="1103"/>
      <c r="D57" s="1103"/>
      <c r="E57" s="1103"/>
      <c r="F57" s="1103"/>
      <c r="G57" s="1104"/>
      <c r="H57" s="1102" t="str">
        <f>+"Estimate Benchmark: "&amp;E6</f>
        <v>Estimate Benchmark: GSR</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1020</v>
      </c>
      <c r="C81" s="1135"/>
      <c r="D81" s="1135"/>
      <c r="E81" s="1135"/>
      <c r="F81" s="1135"/>
      <c r="G81" s="1136"/>
      <c r="H81" s="631" t="s">
        <v>687</v>
      </c>
      <c r="I81" s="952" t="s">
        <v>360</v>
      </c>
      <c r="J81" s="1181" t="s">
        <v>580</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916"/>
      <c r="I82" s="916"/>
      <c r="J82" s="1178"/>
      <c r="K82" s="1179"/>
      <c r="L82" s="1179"/>
      <c r="M82" s="1179"/>
      <c r="N82" s="1180"/>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668</v>
      </c>
      <c r="K3" s="1103"/>
      <c r="L3" s="1103"/>
      <c r="M3" s="1104"/>
      <c r="N3" s="210"/>
      <c r="O3" s="1102" t="str">
        <f>+E6</f>
        <v>Power Cycle</v>
      </c>
      <c r="P3" s="1103"/>
      <c r="Q3" s="1103"/>
      <c r="R3" s="1103"/>
      <c r="S3" s="1104"/>
      <c r="T3" s="106"/>
      <c r="U3" s="106"/>
      <c r="V3" s="112"/>
      <c r="W3" s="1168" t="str">
        <f>+E6&amp;" Diagram"</f>
        <v>Power Cycle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470</v>
      </c>
      <c r="M5" s="500" t="s">
        <v>504</v>
      </c>
      <c r="N5" s="501"/>
      <c r="O5" s="1039" t="s">
        <v>580</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496</v>
      </c>
      <c r="D6" s="277" t="s">
        <v>678</v>
      </c>
      <c r="E6" s="548" t="str">
        <f>+'Plant Overview'!V39</f>
        <v>Power Cycle</v>
      </c>
      <c r="F6" s="105"/>
      <c r="G6" s="85"/>
      <c r="H6" s="395" t="s">
        <v>262</v>
      </c>
      <c r="I6" s="92"/>
      <c r="J6" s="1164"/>
      <c r="K6" s="1165"/>
      <c r="L6" s="189" t="s">
        <v>471</v>
      </c>
      <c r="M6" s="86" t="s">
        <v>505</v>
      </c>
      <c r="N6" s="501"/>
      <c r="O6" s="1107" t="str">
        <f>+'Plant Overview'!X39</f>
        <v>Power cycle (Oxidation section)</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677</v>
      </c>
      <c r="E7" s="548" t="str">
        <f>+'Plant Overview'!W39</f>
        <v>U-300</v>
      </c>
      <c r="F7" s="105"/>
      <c r="G7" s="96"/>
      <c r="H7" s="395" t="s">
        <v>263</v>
      </c>
      <c r="I7" s="92"/>
      <c r="J7" s="1164"/>
      <c r="K7" s="1165"/>
      <c r="L7" s="214" t="s">
        <v>465</v>
      </c>
      <c r="M7" s="500" t="s">
        <v>503</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316</v>
      </c>
      <c r="F8" s="105"/>
      <c r="G8" s="95"/>
      <c r="H8" s="893" t="s">
        <v>264</v>
      </c>
      <c r="I8" s="92"/>
      <c r="J8" s="1164"/>
      <c r="K8" s="1165"/>
      <c r="L8" s="214" t="s">
        <v>466</v>
      </c>
      <c r="M8" s="500" t="s">
        <v>501</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467</v>
      </c>
      <c r="M9" s="500" t="s">
        <v>502</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572</v>
      </c>
      <c r="E11" s="1103"/>
      <c r="F11" s="1103"/>
      <c r="G11" s="1103"/>
      <c r="H11" s="1103"/>
      <c r="I11" s="1103"/>
      <c r="J11" s="1103"/>
      <c r="K11" s="1103"/>
      <c r="L11" s="1104"/>
      <c r="M11" s="1102" t="s">
        <v>581</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947</v>
      </c>
      <c r="D13" s="233" t="s">
        <v>261</v>
      </c>
      <c r="E13" s="267" t="s">
        <v>24</v>
      </c>
      <c r="F13" s="392">
        <f>1000*6.43470230932904</f>
        <v>6434.70230932904</v>
      </c>
      <c r="G13" s="889" t="s">
        <v>354</v>
      </c>
      <c r="H13" s="889" t="s">
        <v>474</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948</v>
      </c>
      <c r="D14" s="267" t="s">
        <v>148</v>
      </c>
      <c r="E14" s="267" t="s">
        <v>24</v>
      </c>
      <c r="F14" s="392">
        <f>1000*7.51335346342238</f>
        <v>7513.3534634223797</v>
      </c>
      <c r="G14" s="889" t="s">
        <v>354</v>
      </c>
      <c r="H14" s="889" t="s">
        <v>474</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949</v>
      </c>
      <c r="D15" s="267" t="s">
        <v>252</v>
      </c>
      <c r="E15" s="267" t="s">
        <v>117</v>
      </c>
      <c r="F15" s="392">
        <f>+X39*1000/3600/AD39</f>
        <v>1018.5828667135729</v>
      </c>
      <c r="G15" s="889">
        <v>1</v>
      </c>
      <c r="H15" s="889" t="s">
        <v>352</v>
      </c>
      <c r="I15" s="889" t="s">
        <v>531</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950</v>
      </c>
      <c r="D16" s="267" t="s">
        <v>269</v>
      </c>
      <c r="E16" s="267" t="s">
        <v>156</v>
      </c>
      <c r="F16" s="913">
        <f>1000*0.000610826415478802</f>
        <v>0.61082641547880201</v>
      </c>
      <c r="G16" s="889">
        <v>6</v>
      </c>
      <c r="H16" s="889" t="s">
        <v>474</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951</v>
      </c>
      <c r="D17" s="267" t="s">
        <v>519</v>
      </c>
      <c r="E17" s="267" t="s">
        <v>36</v>
      </c>
      <c r="F17" s="392">
        <f>+F14-F13</f>
        <v>1078.6511540933398</v>
      </c>
      <c r="G17" s="889" t="s">
        <v>354</v>
      </c>
      <c r="H17" s="889" t="s">
        <v>474</v>
      </c>
      <c r="I17" s="889" t="s">
        <v>570</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96" t="str">
        <f>+E6&amp;" Calculations"</f>
        <v>Power Cycle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50" t="s">
        <v>822</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76" t="s">
        <v>823</v>
      </c>
      <c r="X37" s="1093"/>
      <c r="Y37" s="1094"/>
      <c r="Z37" s="1147" t="s">
        <v>824</v>
      </c>
      <c r="AA37" s="1148"/>
      <c r="AB37" s="1147" t="s">
        <v>825</v>
      </c>
      <c r="AC37" s="1149"/>
      <c r="AD37" s="865" t="s">
        <v>826</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827</v>
      </c>
      <c r="Y38" s="865" t="s">
        <v>828</v>
      </c>
      <c r="Z38" s="808" t="s">
        <v>829</v>
      </c>
      <c r="AA38" s="808" t="s">
        <v>830</v>
      </c>
      <c r="AB38" s="810" t="s">
        <v>829</v>
      </c>
      <c r="AC38" s="808" t="s">
        <v>830</v>
      </c>
      <c r="AD38" s="186" t="s">
        <v>831</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832</v>
      </c>
      <c r="Z39" s="905" t="s">
        <v>833</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3" t="s">
        <v>537</v>
      </c>
      <c r="E44" s="1103"/>
      <c r="F44" s="1103"/>
      <c r="G44" s="1103"/>
      <c r="H44" s="1103"/>
      <c r="I44" s="1103"/>
      <c r="J44" s="1103"/>
      <c r="K44" s="1103"/>
      <c r="L44" s="1103"/>
      <c r="M44" s="1171"/>
      <c r="N44" s="1171"/>
      <c r="O44" s="1171"/>
      <c r="P44" s="1171"/>
      <c r="Q44" s="1171"/>
      <c r="R44" s="1171"/>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359</v>
      </c>
      <c r="X48" s="1151"/>
      <c r="Y48" s="865" t="s">
        <v>817</v>
      </c>
      <c r="Z48" s="881"/>
      <c r="AA48" s="881"/>
      <c r="AB48" s="881"/>
      <c r="AC48" s="881"/>
      <c r="AD48" s="507"/>
      <c r="AE48" s="507"/>
      <c r="AF48" s="517"/>
      <c r="AG48" s="262" t="s">
        <v>687</v>
      </c>
      <c r="AH48" s="262" t="s">
        <v>360</v>
      </c>
      <c r="AI48" s="1172" t="s">
        <v>580</v>
      </c>
      <c r="AJ48" s="1173"/>
      <c r="AK48" s="1173"/>
      <c r="AL48" s="1173"/>
      <c r="AM48" s="1173"/>
      <c r="AN48" s="1174"/>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818</v>
      </c>
      <c r="X49" s="1153"/>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819</v>
      </c>
      <c r="X50" s="1106"/>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775</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820</v>
      </c>
      <c r="X51" s="1106"/>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5" t="s">
        <v>477</v>
      </c>
      <c r="Q52" s="1156"/>
      <c r="R52" s="589" t="s">
        <v>640</v>
      </c>
      <c r="S52" s="833" t="s">
        <v>639</v>
      </c>
      <c r="T52" s="106"/>
      <c r="U52" s="105"/>
      <c r="V52" s="120"/>
      <c r="W52" s="1147" t="s">
        <v>821</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7" t="s">
        <v>478</v>
      </c>
      <c r="Q53" s="1079"/>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7"/>
      <c r="Q54" s="1079"/>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Power Cycle</v>
      </c>
      <c r="C57" s="1103"/>
      <c r="D57" s="1103"/>
      <c r="E57" s="1103"/>
      <c r="F57" s="1103"/>
      <c r="G57" s="1104"/>
      <c r="H57" s="1102" t="str">
        <f>+"Estimate Benchmark: "&amp;E6</f>
        <v>Estimate Benchmark: Power Cycle</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1020</v>
      </c>
      <c r="C81" s="1135"/>
      <c r="D81" s="1135"/>
      <c r="E81" s="1135"/>
      <c r="F81" s="1135"/>
      <c r="G81" s="1136"/>
      <c r="H81" s="128" t="s">
        <v>687</v>
      </c>
      <c r="I81" s="129" t="s">
        <v>360</v>
      </c>
      <c r="J81" s="1181" t="s">
        <v>580</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W36:AD36"/>
    <mergeCell ref="W37:Y37"/>
    <mergeCell ref="Z37:AA37"/>
    <mergeCell ref="AB37:AC37"/>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M11:R11"/>
    <mergeCell ref="J81:N81"/>
    <mergeCell ref="J82:N82"/>
    <mergeCell ref="D44:R44"/>
    <mergeCell ref="B81:G82"/>
    <mergeCell ref="AI48:AN48"/>
    <mergeCell ref="P52:Q52"/>
    <mergeCell ref="P53:Q53"/>
    <mergeCell ref="P54:Q54"/>
    <mergeCell ref="B57:G57"/>
    <mergeCell ref="H57:N57"/>
    <mergeCell ref="W48:X48"/>
    <mergeCell ref="W49:X49"/>
    <mergeCell ref="W50:X50"/>
    <mergeCell ref="W51:X51"/>
    <mergeCell ref="W52:X52"/>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668</v>
      </c>
      <c r="K3" s="1103"/>
      <c r="L3" s="1103"/>
      <c r="M3" s="1104"/>
      <c r="N3" s="210"/>
      <c r="O3" s="1102" t="str">
        <f>+E6</f>
        <v>WGS</v>
      </c>
      <c r="P3" s="1103"/>
      <c r="Q3" s="1103"/>
      <c r="R3" s="1103"/>
      <c r="S3" s="1104"/>
      <c r="T3" s="106"/>
      <c r="U3" s="106"/>
      <c r="V3" s="112"/>
      <c r="W3" s="1168" t="str">
        <f>+E6&amp;" Diagram"</f>
        <v>WGS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470</v>
      </c>
      <c r="M5" s="500" t="s">
        <v>504</v>
      </c>
      <c r="N5" s="501"/>
      <c r="O5" s="1039" t="s">
        <v>580</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496</v>
      </c>
      <c r="D6" s="277" t="s">
        <v>678</v>
      </c>
      <c r="E6" s="548" t="str">
        <f>+'Plant Overview'!V40</f>
        <v>WGS</v>
      </c>
      <c r="F6" s="105"/>
      <c r="G6" s="85"/>
      <c r="H6" s="395" t="s">
        <v>262</v>
      </c>
      <c r="I6" s="92"/>
      <c r="J6" s="1164"/>
      <c r="K6" s="1165"/>
      <c r="L6" s="189" t="s">
        <v>471</v>
      </c>
      <c r="M6" s="86" t="s">
        <v>505</v>
      </c>
      <c r="N6" s="501"/>
      <c r="O6" s="1107" t="str">
        <f>+'Plant Overview'!X40</f>
        <v>Water Gas Shift train</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677</v>
      </c>
      <c r="E7" s="548" t="str">
        <f>+'Plant Overview'!W40</f>
        <v>U-400</v>
      </c>
      <c r="F7" s="105"/>
      <c r="G7" s="96"/>
      <c r="H7" s="395" t="s">
        <v>263</v>
      </c>
      <c r="I7" s="92"/>
      <c r="J7" s="1164"/>
      <c r="K7" s="1165"/>
      <c r="L7" s="214" t="s">
        <v>465</v>
      </c>
      <c r="M7" s="500" t="s">
        <v>503</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420</v>
      </c>
      <c r="F8" s="105"/>
      <c r="G8" s="95"/>
      <c r="H8" s="893" t="s">
        <v>264</v>
      </c>
      <c r="I8" s="92"/>
      <c r="J8" s="1164"/>
      <c r="K8" s="1165"/>
      <c r="L8" s="214" t="s">
        <v>466</v>
      </c>
      <c r="M8" s="500" t="s">
        <v>501</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467</v>
      </c>
      <c r="M9" s="500" t="s">
        <v>502</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572</v>
      </c>
      <c r="E11" s="1103"/>
      <c r="F11" s="1103"/>
      <c r="G11" s="1103"/>
      <c r="H11" s="1103"/>
      <c r="I11" s="1103"/>
      <c r="J11" s="1103"/>
      <c r="K11" s="1103"/>
      <c r="L11" s="1104"/>
      <c r="M11" s="1102" t="s">
        <v>581</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1015</v>
      </c>
      <c r="D13" s="267" t="s">
        <v>260</v>
      </c>
      <c r="E13" s="267" t="s">
        <v>201</v>
      </c>
      <c r="F13" s="889">
        <f>+X45*(1+X46)</f>
        <v>34.384999999999998</v>
      </c>
      <c r="G13" s="889">
        <v>1</v>
      </c>
      <c r="H13" s="889" t="s">
        <v>472</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1016</v>
      </c>
      <c r="D14" s="267" t="s">
        <v>260</v>
      </c>
      <c r="E14" s="267" t="s">
        <v>201</v>
      </c>
      <c r="F14" s="392">
        <f>+F13+Q46</f>
        <v>37.747525753139719</v>
      </c>
      <c r="G14" s="889">
        <v>31</v>
      </c>
      <c r="H14" s="889" t="s">
        <v>472</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1017</v>
      </c>
      <c r="D15" s="267" t="s">
        <v>260</v>
      </c>
      <c r="E15" s="267" t="s">
        <v>201</v>
      </c>
      <c r="F15" s="889">
        <f>+X47*(1+X48)</f>
        <v>1.1759999999999999</v>
      </c>
      <c r="G15" s="889">
        <v>1</v>
      </c>
      <c r="H15" s="889" t="s">
        <v>472</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1018</v>
      </c>
      <c r="D16" s="267" t="s">
        <v>260</v>
      </c>
      <c r="E16" s="267" t="s">
        <v>201</v>
      </c>
      <c r="F16" s="889">
        <f>+F15+Q48</f>
        <v>25.245499999999996</v>
      </c>
      <c r="G16" s="889">
        <v>31</v>
      </c>
      <c r="H16" s="889" t="s">
        <v>472</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952</v>
      </c>
      <c r="D17" s="267" t="s">
        <v>252</v>
      </c>
      <c r="E17" s="267" t="s">
        <v>117</v>
      </c>
      <c r="F17" s="168">
        <f>+AC42*1000/3600/AI42</f>
        <v>153.46347689602027</v>
      </c>
      <c r="G17" s="889">
        <f>+AG42</f>
        <v>35</v>
      </c>
      <c r="H17" s="889" t="s">
        <v>352</v>
      </c>
      <c r="I17" s="889" t="s">
        <v>475</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953</v>
      </c>
      <c r="D18" s="267" t="s">
        <v>252</v>
      </c>
      <c r="E18" s="267" t="s">
        <v>117</v>
      </c>
      <c r="F18" s="168">
        <f>+AC43*1000/3600/AI43</f>
        <v>78.414003570214206</v>
      </c>
      <c r="G18" s="889">
        <f>+AG43</f>
        <v>35</v>
      </c>
      <c r="H18" s="889" t="s">
        <v>352</v>
      </c>
      <c r="I18" s="889" t="s">
        <v>475</v>
      </c>
      <c r="J18" s="889" t="str">
        <f>+IF(F18&gt;'Equipment Data'!$L$126,"yes","No")</f>
        <v>No</v>
      </c>
      <c r="K18" s="889">
        <v>0.67</v>
      </c>
      <c r="L18" s="889" t="s">
        <v>530</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954</v>
      </c>
      <c r="D19" s="267" t="s">
        <v>252</v>
      </c>
      <c r="E19" s="267" t="s">
        <v>117</v>
      </c>
      <c r="F19" s="168">
        <f>+AC44*1000/3600/AI44</f>
        <v>132.32653850048752</v>
      </c>
      <c r="G19" s="889">
        <f>+AG44</f>
        <v>37</v>
      </c>
      <c r="H19" s="889" t="s">
        <v>352</v>
      </c>
      <c r="I19" s="889" t="s">
        <v>475</v>
      </c>
      <c r="J19" s="889" t="str">
        <f>+IF(F19&gt;'Equipment Data'!$L$126,"yes","No")</f>
        <v>No</v>
      </c>
      <c r="K19" s="889">
        <v>0.67</v>
      </c>
      <c r="L19" s="889" t="s">
        <v>530</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955</v>
      </c>
      <c r="D20" s="267" t="s">
        <v>269</v>
      </c>
      <c r="E20" s="267" t="s">
        <v>156</v>
      </c>
      <c r="F20" s="168">
        <f>1000*0.0150327479715578</f>
        <v>15.0327479715578</v>
      </c>
      <c r="G20" s="889">
        <v>35</v>
      </c>
      <c r="H20" s="889" t="s">
        <v>474</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956</v>
      </c>
      <c r="D21" s="267" t="s">
        <v>260</v>
      </c>
      <c r="E21" s="267" t="s">
        <v>201</v>
      </c>
      <c r="F21" s="168">
        <f>+AJ38+AI38</f>
        <v>3.8054797693194891</v>
      </c>
      <c r="G21" s="889">
        <f>+AK38</f>
        <v>32</v>
      </c>
      <c r="H21" s="889" t="s">
        <v>472</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964</v>
      </c>
      <c r="D22" s="267" t="s">
        <v>252</v>
      </c>
      <c r="E22" s="267" t="s">
        <v>117</v>
      </c>
      <c r="F22" s="392">
        <f>+AC45/3600*1000/AI45</f>
        <v>100.39594446211946</v>
      </c>
      <c r="G22" s="889">
        <v>30</v>
      </c>
      <c r="H22" s="889" t="s">
        <v>352</v>
      </c>
      <c r="I22" s="889" t="s">
        <v>475</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96" t="str">
        <f>+E6&amp;" Calculations"</f>
        <v>WGS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201" t="s">
        <v>838</v>
      </c>
      <c r="X36" s="1202"/>
      <c r="Y36" s="1203"/>
      <c r="AB36" s="1204" t="s">
        <v>857</v>
      </c>
      <c r="AC36" s="1205"/>
      <c r="AD36" s="1205"/>
      <c r="AE36" s="1205"/>
      <c r="AF36" s="1205"/>
      <c r="AG36" s="1205"/>
      <c r="AH36" s="1205"/>
      <c r="AI36" s="1205"/>
      <c r="AJ36" s="1205"/>
      <c r="AK36" s="1206"/>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839</v>
      </c>
      <c r="X37" s="835">
        <v>16100</v>
      </c>
      <c r="Y37" s="873" t="s">
        <v>795</v>
      </c>
      <c r="AB37" s="865" t="s">
        <v>462</v>
      </c>
      <c r="AC37" s="865" t="s">
        <v>858</v>
      </c>
      <c r="AD37" s="865" t="s">
        <v>859</v>
      </c>
      <c r="AE37" s="865" t="s">
        <v>860</v>
      </c>
      <c r="AF37" s="865" t="s">
        <v>861</v>
      </c>
      <c r="AG37" s="865" t="s">
        <v>866</v>
      </c>
      <c r="AH37" s="865" t="s">
        <v>862</v>
      </c>
      <c r="AI37" s="826" t="s">
        <v>863</v>
      </c>
      <c r="AJ37" s="827" t="s">
        <v>864</v>
      </c>
      <c r="AK37" s="830" t="s">
        <v>867</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840</v>
      </c>
      <c r="X38" s="508">
        <v>2000</v>
      </c>
      <c r="Y38" s="863" t="s">
        <v>795</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841</v>
      </c>
      <c r="X39" s="870">
        <v>4500</v>
      </c>
      <c r="Y39" s="869" t="s">
        <v>809</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98" t="s">
        <v>252</v>
      </c>
      <c r="AC40" s="1199"/>
      <c r="AD40" s="1200"/>
      <c r="AE40" s="1176" t="s">
        <v>824</v>
      </c>
      <c r="AF40" s="1094"/>
      <c r="AG40" s="1176" t="s">
        <v>825</v>
      </c>
      <c r="AH40" s="1094"/>
      <c r="AI40" s="865" t="s">
        <v>826</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827</v>
      </c>
      <c r="AD41" s="865" t="s">
        <v>828</v>
      </c>
      <c r="AE41" s="808" t="s">
        <v>829</v>
      </c>
      <c r="AF41" s="808" t="s">
        <v>830</v>
      </c>
      <c r="AG41" s="810" t="s">
        <v>829</v>
      </c>
      <c r="AH41" s="808" t="s">
        <v>830</v>
      </c>
      <c r="AI41" s="186" t="s">
        <v>831</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832</v>
      </c>
      <c r="AE42" s="872" t="s">
        <v>833</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98" t="s">
        <v>842</v>
      </c>
      <c r="X43" s="1199"/>
      <c r="Y43" s="1200"/>
      <c r="AB43" s="865" t="str">
        <f>+C18</f>
        <v>HEX-402</v>
      </c>
      <c r="AC43" s="865">
        <v>124064.343170113</v>
      </c>
      <c r="AD43" s="871" t="s">
        <v>832</v>
      </c>
      <c r="AE43" s="867" t="s">
        <v>833</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103" t="s">
        <v>537</v>
      </c>
      <c r="E44" s="1103"/>
      <c r="F44" s="1103"/>
      <c r="G44" s="1103"/>
      <c r="H44" s="1103"/>
      <c r="I44" s="1103"/>
      <c r="J44" s="1103"/>
      <c r="K44" s="1103"/>
      <c r="L44" s="1103"/>
      <c r="M44" s="1171"/>
      <c r="N44" s="1171"/>
      <c r="O44" s="1171"/>
      <c r="P44" s="1171"/>
      <c r="Q44" s="1171"/>
      <c r="R44" s="1171"/>
      <c r="S44" s="443"/>
      <c r="T44" s="950">
        <f t="shared" ca="1" si="0"/>
        <v>0</v>
      </c>
      <c r="U44" s="105"/>
      <c r="V44" s="806"/>
      <c r="W44" s="871" t="s">
        <v>462</v>
      </c>
      <c r="X44" s="865" t="s">
        <v>843</v>
      </c>
      <c r="Y44" s="864" t="s">
        <v>844</v>
      </c>
      <c r="AB44" s="865" t="str">
        <f>+C19</f>
        <v>HEX-403</v>
      </c>
      <c r="AC44" s="865">
        <v>178897.374426428</v>
      </c>
      <c r="AD44" s="871" t="s">
        <v>871</v>
      </c>
      <c r="AE44" s="867" t="s">
        <v>820</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7" t="s">
        <v>845</v>
      </c>
      <c r="X45" s="164">
        <v>26.45</v>
      </c>
      <c r="Y45" s="822">
        <v>1.234</v>
      </c>
      <c r="Z45" s="881"/>
      <c r="AA45" s="881"/>
      <c r="AB45" s="915" t="str">
        <f>+C22</f>
        <v>C-401</v>
      </c>
      <c r="AC45" s="915">
        <v>417029.30776572699</v>
      </c>
      <c r="AD45" s="753" t="s">
        <v>965</v>
      </c>
      <c r="AE45" s="868" t="s">
        <v>820</v>
      </c>
      <c r="AF45" s="838">
        <f>IF(AE45="Ph. Ch.",$AD$51,IF(AE45="Liquid",$AD$50,$AD$48*AE45^$AD$49))</f>
        <v>1500</v>
      </c>
      <c r="AG45" s="839" t="s">
        <v>833</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852</v>
      </c>
      <c r="D46" s="885" t="s">
        <v>793</v>
      </c>
      <c r="E46" s="886"/>
      <c r="F46" s="383" t="s">
        <v>487</v>
      </c>
      <c r="G46" s="383">
        <v>2020</v>
      </c>
      <c r="H46" s="383" t="s">
        <v>478</v>
      </c>
      <c r="I46" s="383" t="s">
        <v>794</v>
      </c>
      <c r="J46" s="279" t="s">
        <v>472</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846</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853</v>
      </c>
      <c r="D47" s="888" t="s">
        <v>793</v>
      </c>
      <c r="E47" s="889"/>
      <c r="F47" s="254" t="s">
        <v>487</v>
      </c>
      <c r="G47" s="254">
        <v>2020</v>
      </c>
      <c r="H47" s="254" t="s">
        <v>478</v>
      </c>
      <c r="I47" s="393" t="s">
        <v>794</v>
      </c>
      <c r="J47" s="393" t="s">
        <v>472</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847</v>
      </c>
      <c r="X47" s="164">
        <v>0.3</v>
      </c>
      <c r="Y47" s="863">
        <v>0.5</v>
      </c>
      <c r="Z47" s="881"/>
      <c r="AA47" s="881"/>
      <c r="AB47" s="1150" t="s">
        <v>359</v>
      </c>
      <c r="AC47" s="1151"/>
      <c r="AD47" s="865" t="s">
        <v>817</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854</v>
      </c>
      <c r="D48" s="888" t="s">
        <v>1019</v>
      </c>
      <c r="E48" s="889"/>
      <c r="F48" s="254" t="s">
        <v>487</v>
      </c>
      <c r="G48" s="254">
        <v>2020</v>
      </c>
      <c r="H48" s="254" t="s">
        <v>478</v>
      </c>
      <c r="I48" s="889" t="s">
        <v>868</v>
      </c>
      <c r="J48" s="889" t="s">
        <v>472</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848</v>
      </c>
      <c r="X48" s="164">
        <v>2.92</v>
      </c>
      <c r="Y48" s="822">
        <v>2.6379999999999999</v>
      </c>
      <c r="Z48" s="881"/>
      <c r="AA48" s="881"/>
      <c r="AB48" s="1152" t="s">
        <v>818</v>
      </c>
      <c r="AC48" s="1153"/>
      <c r="AD48" s="807">
        <v>40</v>
      </c>
      <c r="AE48" s="507"/>
      <c r="AF48" s="517"/>
      <c r="AG48" s="88" t="s">
        <v>687</v>
      </c>
      <c r="AH48" s="88" t="s">
        <v>360</v>
      </c>
      <c r="AI48" s="1172" t="s">
        <v>580</v>
      </c>
      <c r="AJ48" s="1173"/>
      <c r="AK48" s="1173"/>
      <c r="AL48" s="1173"/>
      <c r="AM48" s="1173"/>
      <c r="AN48" s="1174"/>
      <c r="AO48" s="113"/>
      <c r="AP48" s="105"/>
      <c r="AQ48" s="241"/>
      <c r="AR48" s="452"/>
    </row>
    <row r="49" spans="1:57" ht="16.2" customHeight="1" x14ac:dyDescent="0.3">
      <c r="A49" s="83"/>
      <c r="B49" s="104"/>
      <c r="C49" s="888" t="s">
        <v>855</v>
      </c>
      <c r="D49" s="888" t="s">
        <v>1019</v>
      </c>
      <c r="E49" s="889"/>
      <c r="F49" s="254" t="s">
        <v>487</v>
      </c>
      <c r="G49" s="254">
        <v>2020</v>
      </c>
      <c r="H49" s="254" t="s">
        <v>478</v>
      </c>
      <c r="I49" s="889" t="s">
        <v>868</v>
      </c>
      <c r="J49" s="889" t="s">
        <v>472</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849</v>
      </c>
      <c r="X49" s="275">
        <f>+(X45*(1+X46)*4/(PI()*X48))^(1/3)</f>
        <v>2.4658430585085549</v>
      </c>
      <c r="Y49" s="275">
        <f>+(Y45*(1+Y46)*4/(PI()*Y48))^(1/3)</f>
        <v>0.9182577726436234</v>
      </c>
      <c r="Z49" s="507"/>
      <c r="AA49" s="507"/>
      <c r="AB49" s="1146" t="s">
        <v>819</v>
      </c>
      <c r="AC49" s="1106"/>
      <c r="AD49" s="807">
        <v>0.7</v>
      </c>
      <c r="AE49" s="507"/>
      <c r="AF49" s="517"/>
      <c r="AG49" s="919">
        <v>5</v>
      </c>
      <c r="AH49" s="919" t="s">
        <v>981</v>
      </c>
      <c r="AI49" s="1197" t="s">
        <v>980</v>
      </c>
      <c r="AJ49" s="1197"/>
      <c r="AK49" s="1197"/>
      <c r="AL49" s="1197"/>
      <c r="AM49" s="1197"/>
      <c r="AN49" s="119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850</v>
      </c>
      <c r="X50" s="164">
        <v>0.3</v>
      </c>
      <c r="Y50" s="863">
        <v>0.7</v>
      </c>
      <c r="Z50" s="507"/>
      <c r="AA50" s="507"/>
      <c r="AB50" s="1146" t="s">
        <v>820</v>
      </c>
      <c r="AC50" s="1106"/>
      <c r="AD50" s="807">
        <v>1500</v>
      </c>
      <c r="AE50" s="507"/>
      <c r="AF50" s="517"/>
      <c r="AG50" s="921">
        <v>6</v>
      </c>
      <c r="AH50" s="921" t="s">
        <v>1030</v>
      </c>
      <c r="AI50" s="1196" t="s">
        <v>1029</v>
      </c>
      <c r="AJ50" s="1196"/>
      <c r="AK50" s="1196"/>
      <c r="AL50" s="1196"/>
      <c r="AM50" s="1196"/>
      <c r="AN50" s="1196"/>
      <c r="AO50" s="113"/>
      <c r="AP50" s="105"/>
      <c r="AQ50" s="241"/>
      <c r="AR50" s="452"/>
    </row>
    <row r="51" spans="1:57" ht="16.2" customHeight="1" x14ac:dyDescent="0.3">
      <c r="A51" s="83"/>
      <c r="B51" s="104"/>
      <c r="C51" s="801" t="s">
        <v>775</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851</v>
      </c>
      <c r="X51" s="825">
        <v>0.05</v>
      </c>
      <c r="Y51" s="869">
        <v>0.05</v>
      </c>
      <c r="Z51" s="507"/>
      <c r="AA51" s="507"/>
      <c r="AB51" s="1147" t="s">
        <v>821</v>
      </c>
      <c r="AC51" s="1148"/>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5" t="s">
        <v>477</v>
      </c>
      <c r="Q52" s="1156"/>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7" t="s">
        <v>478</v>
      </c>
      <c r="Q53" s="1079"/>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7"/>
      <c r="Q54" s="1079"/>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WGS</v>
      </c>
      <c r="C57" s="1103"/>
      <c r="D57" s="1103"/>
      <c r="E57" s="1103"/>
      <c r="F57" s="1103"/>
      <c r="G57" s="1104"/>
      <c r="H57" s="1102" t="str">
        <f>+"Estimate Benchmark: "&amp;E6</f>
        <v>Estimate Benchmark: WGS</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1020</v>
      </c>
      <c r="C81" s="1135"/>
      <c r="D81" s="1135"/>
      <c r="E81" s="1135"/>
      <c r="F81" s="1135"/>
      <c r="G81" s="1136"/>
      <c r="H81" s="128" t="s">
        <v>687</v>
      </c>
      <c r="I81" s="129" t="s">
        <v>360</v>
      </c>
      <c r="J81" s="1181" t="s">
        <v>580</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O6:S9"/>
    <mergeCell ref="D11:L11"/>
    <mergeCell ref="W43:Y43"/>
    <mergeCell ref="W36:Y36"/>
    <mergeCell ref="AG40:AH40"/>
    <mergeCell ref="AB40:AD40"/>
    <mergeCell ref="AB36:AK36"/>
    <mergeCell ref="AE40:AF40"/>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668</v>
      </c>
      <c r="K3" s="1103"/>
      <c r="L3" s="1103"/>
      <c r="M3" s="1104"/>
      <c r="N3" s="210"/>
      <c r="O3" s="1102" t="str">
        <f>+E6</f>
        <v>H₂ Production</v>
      </c>
      <c r="P3" s="1103"/>
      <c r="Q3" s="1103"/>
      <c r="R3" s="1103"/>
      <c r="S3" s="1104"/>
      <c r="T3" s="106"/>
      <c r="U3" s="106"/>
      <c r="V3" s="112"/>
      <c r="W3" s="1168" t="str">
        <f>+E6&amp;" Diagram"</f>
        <v>H₂ Production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470</v>
      </c>
      <c r="M5" s="500" t="s">
        <v>504</v>
      </c>
      <c r="N5" s="501"/>
      <c r="O5" s="1039" t="s">
        <v>580</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496</v>
      </c>
      <c r="D6" s="277" t="s">
        <v>678</v>
      </c>
      <c r="E6" s="548" t="str">
        <f>+'Plant Overview'!V41</f>
        <v>H₂ Production</v>
      </c>
      <c r="F6" s="105"/>
      <c r="G6" s="85"/>
      <c r="H6" s="395" t="s">
        <v>262</v>
      </c>
      <c r="I6" s="92"/>
      <c r="J6" s="1164"/>
      <c r="K6" s="1165"/>
      <c r="L6" s="189" t="s">
        <v>471</v>
      </c>
      <c r="M6" s="86" t="s">
        <v>505</v>
      </c>
      <c r="N6" s="501"/>
      <c r="O6" s="1107" t="str">
        <f>+'Plant Overview'!X41</f>
        <v>PSA, Off gas and H2 compression &amp; Auxiliaries</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677</v>
      </c>
      <c r="E7" s="548" t="str">
        <f>+'Plant Overview'!W41</f>
        <v>U-500</v>
      </c>
      <c r="F7" s="105"/>
      <c r="G7" s="96"/>
      <c r="H7" s="395" t="s">
        <v>263</v>
      </c>
      <c r="I7" s="92"/>
      <c r="J7" s="1164"/>
      <c r="K7" s="1165"/>
      <c r="L7" s="214" t="s">
        <v>465</v>
      </c>
      <c r="M7" s="500" t="s">
        <v>503</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435</v>
      </c>
      <c r="F8" s="105"/>
      <c r="G8" s="95"/>
      <c r="H8" s="893" t="s">
        <v>264</v>
      </c>
      <c r="I8" s="92"/>
      <c r="J8" s="1164"/>
      <c r="K8" s="1165"/>
      <c r="L8" s="214" t="s">
        <v>466</v>
      </c>
      <c r="M8" s="500" t="s">
        <v>501</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467</v>
      </c>
      <c r="M9" s="500" t="s">
        <v>502</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572</v>
      </c>
      <c r="E11" s="1103"/>
      <c r="F11" s="1103"/>
      <c r="G11" s="1103"/>
      <c r="H11" s="1103"/>
      <c r="I11" s="1103"/>
      <c r="J11" s="1103"/>
      <c r="K11" s="1103"/>
      <c r="L11" s="1104"/>
      <c r="M11" s="1102" t="s">
        <v>581</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958</v>
      </c>
      <c r="D13" s="267" t="s">
        <v>261</v>
      </c>
      <c r="E13" s="267" t="s">
        <v>23</v>
      </c>
      <c r="F13" s="889">
        <v>4240</v>
      </c>
      <c r="G13" s="889" t="s">
        <v>354</v>
      </c>
      <c r="H13" s="889" t="s">
        <v>474</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1021</v>
      </c>
      <c r="D14" s="267" t="s">
        <v>519</v>
      </c>
      <c r="E14" s="267" t="s">
        <v>36</v>
      </c>
      <c r="F14" s="889">
        <f>+F13</f>
        <v>4240</v>
      </c>
      <c r="G14" s="889" t="s">
        <v>354</v>
      </c>
      <c r="H14" s="889" t="s">
        <v>474</v>
      </c>
      <c r="I14" s="889" t="s">
        <v>570</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959</v>
      </c>
      <c r="D15" s="267" t="s">
        <v>261</v>
      </c>
      <c r="E15" s="267" t="s">
        <v>23</v>
      </c>
      <c r="F15" s="889">
        <v>1153</v>
      </c>
      <c r="G15" s="889" t="s">
        <v>354</v>
      </c>
      <c r="H15" s="889" t="s">
        <v>474</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1022</v>
      </c>
      <c r="D16" s="267" t="s">
        <v>519</v>
      </c>
      <c r="E16" s="267" t="s">
        <v>36</v>
      </c>
      <c r="F16" s="889">
        <f>+F15</f>
        <v>1153</v>
      </c>
      <c r="G16" s="889" t="s">
        <v>354</v>
      </c>
      <c r="H16" s="889" t="s">
        <v>474</v>
      </c>
      <c r="I16" s="889" t="s">
        <v>570</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960</v>
      </c>
      <c r="D17" s="267" t="s">
        <v>252</v>
      </c>
      <c r="E17" s="267" t="s">
        <v>117</v>
      </c>
      <c r="F17" s="392">
        <f>+X42*1000/3600/AD42</f>
        <v>189.20340601403097</v>
      </c>
      <c r="G17" s="889">
        <f>+AB42</f>
        <v>33</v>
      </c>
      <c r="H17" s="889" t="s">
        <v>352</v>
      </c>
      <c r="I17" s="889" t="s">
        <v>562</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961</v>
      </c>
      <c r="D18" s="267" t="s">
        <v>252</v>
      </c>
      <c r="E18" s="267" t="s">
        <v>117</v>
      </c>
      <c r="F18" s="392">
        <f t="shared" ref="F18:F19" si="3">+X43*1000/3600/AD43</f>
        <v>77.757334798639192</v>
      </c>
      <c r="G18" s="889">
        <f t="shared" ref="G18:G19" si="4">+AB43</f>
        <v>31.8</v>
      </c>
      <c r="H18" s="889" t="s">
        <v>352</v>
      </c>
      <c r="I18" s="889" t="s">
        <v>475</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962</v>
      </c>
      <c r="D19" s="267" t="s">
        <v>252</v>
      </c>
      <c r="E19" s="267" t="s">
        <v>117</v>
      </c>
      <c r="F19" s="392">
        <f t="shared" si="3"/>
        <v>89.287563898141912</v>
      </c>
      <c r="G19" s="889">
        <f t="shared" si="4"/>
        <v>60</v>
      </c>
      <c r="H19" s="889" t="s">
        <v>352</v>
      </c>
      <c r="I19" s="889" t="s">
        <v>486</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963</v>
      </c>
      <c r="D20" s="267" t="s">
        <v>260</v>
      </c>
      <c r="E20" s="267" t="s">
        <v>201</v>
      </c>
      <c r="F20" s="168">
        <f>+AE38+AD38</f>
        <v>1.789919822448617</v>
      </c>
      <c r="G20" s="889">
        <f>+AF38</f>
        <v>31</v>
      </c>
      <c r="H20" s="889" t="s">
        <v>472</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96" t="str">
        <f>+E6&amp;" Calculations"</f>
        <v>H₂ Production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204" t="s">
        <v>857</v>
      </c>
      <c r="X36" s="1205"/>
      <c r="Y36" s="1205"/>
      <c r="Z36" s="1205"/>
      <c r="AA36" s="1205"/>
      <c r="AB36" s="1205"/>
      <c r="AC36" s="1205"/>
      <c r="AD36" s="1205"/>
      <c r="AE36" s="1205"/>
      <c r="AF36" s="1206"/>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462</v>
      </c>
      <c r="X37" s="865" t="s">
        <v>858</v>
      </c>
      <c r="Y37" s="865" t="s">
        <v>859</v>
      </c>
      <c r="Z37" s="865" t="s">
        <v>860</v>
      </c>
      <c r="AA37" s="865" t="s">
        <v>861</v>
      </c>
      <c r="AB37" s="865" t="s">
        <v>866</v>
      </c>
      <c r="AC37" s="865" t="s">
        <v>862</v>
      </c>
      <c r="AD37" s="826" t="s">
        <v>863</v>
      </c>
      <c r="AE37" s="827" t="s">
        <v>864</v>
      </c>
      <c r="AF37" s="830" t="s">
        <v>867</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98" t="s">
        <v>823</v>
      </c>
      <c r="X40" s="1199"/>
      <c r="Y40" s="1200"/>
      <c r="Z40" s="1176" t="s">
        <v>824</v>
      </c>
      <c r="AA40" s="1094"/>
      <c r="AB40" s="1176" t="s">
        <v>825</v>
      </c>
      <c r="AC40" s="1094"/>
      <c r="AD40" s="865" t="s">
        <v>826</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827</v>
      </c>
      <c r="Y41" s="865" t="s">
        <v>828</v>
      </c>
      <c r="Z41" s="808" t="s">
        <v>829</v>
      </c>
      <c r="AA41" s="808" t="s">
        <v>830</v>
      </c>
      <c r="AB41" s="810" t="s">
        <v>829</v>
      </c>
      <c r="AC41" s="808" t="s">
        <v>830</v>
      </c>
      <c r="AD41" s="186" t="s">
        <v>831</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834</v>
      </c>
      <c r="X42" s="865">
        <v>155782.486188132</v>
      </c>
      <c r="Y42" s="871" t="s">
        <v>836</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835</v>
      </c>
      <c r="X43" s="865">
        <v>96991.421098260995</v>
      </c>
      <c r="Y43" s="871" t="s">
        <v>872</v>
      </c>
      <c r="Z43" s="867" t="s">
        <v>820</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3" t="s">
        <v>537</v>
      </c>
      <c r="E44" s="1103"/>
      <c r="F44" s="1103"/>
      <c r="G44" s="1103"/>
      <c r="H44" s="1103"/>
      <c r="I44" s="1103"/>
      <c r="J44" s="1103"/>
      <c r="K44" s="1103"/>
      <c r="L44" s="1103"/>
      <c r="M44" s="1171"/>
      <c r="N44" s="1171"/>
      <c r="O44" s="1171"/>
      <c r="P44" s="1171"/>
      <c r="Q44" s="1171"/>
      <c r="R44" s="1171"/>
      <c r="S44" s="443"/>
      <c r="T44" s="950">
        <f t="shared" ca="1" si="1"/>
        <v>0</v>
      </c>
      <c r="U44" s="105"/>
      <c r="V44" s="806"/>
      <c r="W44" s="865" t="s">
        <v>870</v>
      </c>
      <c r="X44" s="865">
        <v>153814.24297287999</v>
      </c>
      <c r="Y44" s="871" t="s">
        <v>873</v>
      </c>
      <c r="Z44" s="868" t="s">
        <v>820</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42"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1023</v>
      </c>
      <c r="D46" s="885" t="s">
        <v>957</v>
      </c>
      <c r="E46" s="886" t="s">
        <v>877</v>
      </c>
      <c r="F46" s="383" t="s">
        <v>456</v>
      </c>
      <c r="G46" s="383">
        <v>2014</v>
      </c>
      <c r="H46" s="383" t="s">
        <v>488</v>
      </c>
      <c r="I46" s="886" t="s">
        <v>816</v>
      </c>
      <c r="J46" s="886" t="s">
        <v>878</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359</v>
      </c>
      <c r="X48" s="1151"/>
      <c r="Y48" s="865" t="s">
        <v>817</v>
      </c>
      <c r="Z48" s="881"/>
      <c r="AA48" s="881"/>
      <c r="AB48" s="881"/>
      <c r="AC48" s="881"/>
      <c r="AD48" s="507"/>
      <c r="AE48" s="507"/>
      <c r="AF48" s="517"/>
      <c r="AG48" s="388" t="s">
        <v>687</v>
      </c>
      <c r="AH48" s="88" t="s">
        <v>360</v>
      </c>
      <c r="AI48" s="1211" t="s">
        <v>580</v>
      </c>
      <c r="AJ48" s="1211"/>
      <c r="AK48" s="1211"/>
      <c r="AL48" s="1211"/>
      <c r="AM48" s="1211"/>
      <c r="AN48" s="1212"/>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818</v>
      </c>
      <c r="X49" s="1153"/>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819</v>
      </c>
      <c r="X50" s="1106"/>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775</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820</v>
      </c>
      <c r="X51" s="1106"/>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5" t="s">
        <v>477</v>
      </c>
      <c r="Q52" s="1156"/>
      <c r="R52" s="589" t="s">
        <v>640</v>
      </c>
      <c r="S52" s="833" t="s">
        <v>639</v>
      </c>
      <c r="T52" s="106"/>
      <c r="U52" s="105"/>
      <c r="V52" s="120"/>
      <c r="W52" s="1147" t="s">
        <v>821</v>
      </c>
      <c r="X52" s="1148"/>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7" t="s">
        <v>478</v>
      </c>
      <c r="Q53" s="1079"/>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7"/>
      <c r="Q54" s="1079"/>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H₂ Production</v>
      </c>
      <c r="C57" s="1103"/>
      <c r="D57" s="1103"/>
      <c r="E57" s="1103"/>
      <c r="F57" s="1103"/>
      <c r="G57" s="1104"/>
      <c r="H57" s="1102" t="str">
        <f>+"Estimate Benchmark: "&amp;D46</f>
        <v>Estimate Benchmark: PSA Unit</v>
      </c>
      <c r="I57" s="1103"/>
      <c r="J57" s="1103"/>
      <c r="K57" s="1103"/>
      <c r="L57" s="1103"/>
      <c r="M57" s="1103"/>
      <c r="N57" s="1104"/>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687</v>
      </c>
      <c r="I80" s="129" t="s">
        <v>360</v>
      </c>
      <c r="J80" s="1181" t="s">
        <v>580</v>
      </c>
      <c r="K80" s="1182"/>
      <c r="L80" s="1182"/>
      <c r="M80" s="1182"/>
      <c r="N80" s="1183"/>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1020</v>
      </c>
      <c r="C81" s="1135"/>
      <c r="D81" s="1135"/>
      <c r="E81" s="1135"/>
      <c r="F81" s="1135"/>
      <c r="G81" s="1136"/>
      <c r="H81" s="86">
        <v>6</v>
      </c>
      <c r="I81" s="86" t="s">
        <v>1041</v>
      </c>
      <c r="J81" s="1177" t="s">
        <v>1042</v>
      </c>
      <c r="K81" s="1210"/>
      <c r="L81" s="1210"/>
      <c r="M81" s="1210"/>
      <c r="N81" s="1210"/>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866">
        <v>7</v>
      </c>
      <c r="I82" s="917" t="s">
        <v>877</v>
      </c>
      <c r="J82" s="1207" t="s">
        <v>982</v>
      </c>
      <c r="K82" s="1208"/>
      <c r="L82" s="1208"/>
      <c r="M82" s="1208"/>
      <c r="N82" s="1209"/>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C3:F3"/>
    <mergeCell ref="G3:H3"/>
    <mergeCell ref="J3:M3"/>
    <mergeCell ref="O3:S3"/>
    <mergeCell ref="W3:AN3"/>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W50:X50"/>
    <mergeCell ref="W51:X51"/>
    <mergeCell ref="W52:X52"/>
    <mergeCell ref="D11:L11"/>
    <mergeCell ref="M11:R11"/>
    <mergeCell ref="J82:N82"/>
    <mergeCell ref="O6:S9"/>
    <mergeCell ref="J80:N80"/>
    <mergeCell ref="J81:N81"/>
    <mergeCell ref="D44:R44"/>
    <mergeCell ref="B81:G82"/>
    <mergeCell ref="P54:Q54"/>
    <mergeCell ref="B57:G57"/>
    <mergeCell ref="H57:N57"/>
    <mergeCell ref="C6:C7"/>
    <mergeCell ref="C8:C9"/>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60960</xdr:rowOff>
              </from>
              <to>
                <xdr:col>38</xdr:col>
                <xdr:colOff>784860</xdr:colOff>
                <xdr:row>28</xdr:row>
                <xdr:rowOff>137160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668</v>
      </c>
      <c r="K3" s="1103"/>
      <c r="L3" s="1103"/>
      <c r="M3" s="1104"/>
      <c r="N3" s="210"/>
      <c r="O3" s="1102" t="str">
        <f>+E6</f>
        <v>CO₂ CPU</v>
      </c>
      <c r="P3" s="1103"/>
      <c r="Q3" s="1103"/>
      <c r="R3" s="1103"/>
      <c r="S3" s="1104"/>
      <c r="T3" s="106"/>
      <c r="U3" s="106"/>
      <c r="V3" s="112"/>
      <c r="W3" s="1168" t="str">
        <f>+E6&amp;" Diagram"</f>
        <v>CO₂ CPU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470</v>
      </c>
      <c r="M5" s="500" t="s">
        <v>504</v>
      </c>
      <c r="N5" s="501"/>
      <c r="O5" s="1039" t="s">
        <v>580</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496</v>
      </c>
      <c r="D6" s="277" t="s">
        <v>678</v>
      </c>
      <c r="E6" s="548" t="str">
        <f>+'Plant Overview'!V42</f>
        <v>CO₂ CPU</v>
      </c>
      <c r="F6" s="105"/>
      <c r="G6" s="85"/>
      <c r="H6" s="395" t="s">
        <v>262</v>
      </c>
      <c r="I6" s="92"/>
      <c r="J6" s="1164"/>
      <c r="K6" s="1165"/>
      <c r="L6" s="189" t="s">
        <v>471</v>
      </c>
      <c r="M6" s="86" t="s">
        <v>505</v>
      </c>
      <c r="N6" s="501"/>
      <c r="O6" s="1107" t="str">
        <f>+'Plant Overview'!X42</f>
        <v>CO2 Cryogenic Purification Unit</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677</v>
      </c>
      <c r="E7" s="548" t="str">
        <f>+'Plant Overview'!W42</f>
        <v>U-600</v>
      </c>
      <c r="F7" s="105"/>
      <c r="G7" s="96"/>
      <c r="H7" s="395" t="s">
        <v>263</v>
      </c>
      <c r="I7" s="92"/>
      <c r="J7" s="1164"/>
      <c r="K7" s="1165"/>
      <c r="L7" s="214" t="s">
        <v>465</v>
      </c>
      <c r="M7" s="500" t="s">
        <v>503</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435</v>
      </c>
      <c r="F8" s="105"/>
      <c r="G8" s="95"/>
      <c r="H8" s="893" t="s">
        <v>264</v>
      </c>
      <c r="I8" s="92"/>
      <c r="J8" s="1164"/>
      <c r="K8" s="1165"/>
      <c r="L8" s="214" t="s">
        <v>466</v>
      </c>
      <c r="M8" s="500" t="s">
        <v>501</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467</v>
      </c>
      <c r="M9" s="500" t="s">
        <v>502</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572</v>
      </c>
      <c r="E11" s="1103"/>
      <c r="F11" s="1103"/>
      <c r="G11" s="1103"/>
      <c r="H11" s="1103"/>
      <c r="I11" s="1103"/>
      <c r="J11" s="1103"/>
      <c r="K11" s="1103"/>
      <c r="L11" s="1104"/>
      <c r="M11" s="1102" t="s">
        <v>581</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966</v>
      </c>
      <c r="D13" s="267" t="s">
        <v>252</v>
      </c>
      <c r="E13" s="267" t="s">
        <v>117</v>
      </c>
      <c r="F13" s="392">
        <f>+X39*1000/3600/AD39</f>
        <v>187.68099100920222</v>
      </c>
      <c r="G13" s="889">
        <v>30</v>
      </c>
      <c r="H13" s="889" t="s">
        <v>352</v>
      </c>
      <c r="I13" s="889" t="s">
        <v>561</v>
      </c>
      <c r="J13" s="889" t="str">
        <f>+IF(F13&gt;'Equipment Data'!$L$126,"yes","No")</f>
        <v>No</v>
      </c>
      <c r="K13" s="889">
        <v>0.67</v>
      </c>
      <c r="L13" s="889"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967</v>
      </c>
      <c r="D14" s="267" t="s">
        <v>252</v>
      </c>
      <c r="E14" s="267" t="s">
        <v>117</v>
      </c>
      <c r="F14" s="392">
        <f>+X40*1000/3600/AD40</f>
        <v>4.0263768057490781</v>
      </c>
      <c r="G14" s="889">
        <v>30</v>
      </c>
      <c r="H14" s="889" t="s">
        <v>352</v>
      </c>
      <c r="I14" s="889" t="s">
        <v>561</v>
      </c>
      <c r="J14" s="889" t="str">
        <f>+IF(F14&gt;'Equipment Data'!$L$126,"yes","No")</f>
        <v>No</v>
      </c>
      <c r="K14" s="889">
        <v>0.67</v>
      </c>
      <c r="L14" s="889"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968</v>
      </c>
      <c r="D15" s="267" t="s">
        <v>260</v>
      </c>
      <c r="E15" s="267" t="s">
        <v>201</v>
      </c>
      <c r="F15" s="168">
        <f>+AD45+AE45</f>
        <v>3.937285332525343</v>
      </c>
      <c r="G15" s="889">
        <f>+AF45</f>
        <v>31</v>
      </c>
      <c r="H15" s="889" t="s">
        <v>472</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969</v>
      </c>
      <c r="D16" s="267" t="s">
        <v>260</v>
      </c>
      <c r="E16" s="267" t="s">
        <v>201</v>
      </c>
      <c r="F16" s="168">
        <f>+AD46+AE46</f>
        <v>7.2123548662970577E-2</v>
      </c>
      <c r="G16" s="889">
        <f>+AF46</f>
        <v>30</v>
      </c>
      <c r="H16" s="889" t="s">
        <v>472</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970</v>
      </c>
      <c r="D17" s="267" t="s">
        <v>261</v>
      </c>
      <c r="E17" s="267" t="s">
        <v>23</v>
      </c>
      <c r="F17" s="392">
        <v>11.0148024288192</v>
      </c>
      <c r="G17" s="889" t="s">
        <v>354</v>
      </c>
      <c r="H17" s="889" t="s">
        <v>474</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971</v>
      </c>
      <c r="D18" s="267" t="s">
        <v>261</v>
      </c>
      <c r="E18" s="267" t="s">
        <v>23</v>
      </c>
      <c r="F18" s="392">
        <v>590.38945207965298</v>
      </c>
      <c r="G18" s="889" t="s">
        <v>354</v>
      </c>
      <c r="H18" s="889" t="s">
        <v>474</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1046</v>
      </c>
      <c r="D19" s="267" t="s">
        <v>519</v>
      </c>
      <c r="E19" s="267" t="s">
        <v>36</v>
      </c>
      <c r="F19" s="392">
        <f>+F17+F18</f>
        <v>601.40425450847215</v>
      </c>
      <c r="G19" s="889" t="s">
        <v>354</v>
      </c>
      <c r="H19" s="889" t="s">
        <v>474</v>
      </c>
      <c r="I19" s="889" t="s">
        <v>570</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964</v>
      </c>
      <c r="D20" s="267" t="s">
        <v>252</v>
      </c>
      <c r="E20" s="267" t="s">
        <v>117</v>
      </c>
      <c r="F20" s="168">
        <f>+X41*1000/3600/AD41</f>
        <v>596.88152264423513</v>
      </c>
      <c r="G20" s="889">
        <f>+AB41</f>
        <v>20</v>
      </c>
      <c r="H20" s="889" t="s">
        <v>352</v>
      </c>
      <c r="I20" s="889" t="s">
        <v>475</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972</v>
      </c>
      <c r="D21" s="267" t="s">
        <v>252</v>
      </c>
      <c r="E21" s="267" t="s">
        <v>117</v>
      </c>
      <c r="F21" s="168">
        <f>+X42*1000/3600/AD42</f>
        <v>0.75414555088957591</v>
      </c>
      <c r="G21" s="889">
        <f>+AB42</f>
        <v>80</v>
      </c>
      <c r="H21" s="889" t="s">
        <v>352</v>
      </c>
      <c r="I21" s="889" t="s">
        <v>475</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955</v>
      </c>
      <c r="D22" s="267" t="s">
        <v>269</v>
      </c>
      <c r="E22" s="267" t="s">
        <v>156</v>
      </c>
      <c r="F22" s="889">
        <v>96.508701248476299</v>
      </c>
      <c r="G22" s="889">
        <v>150</v>
      </c>
      <c r="H22" s="889" t="s">
        <v>474</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1044</v>
      </c>
      <c r="D23" s="267" t="s">
        <v>148</v>
      </c>
      <c r="E23" s="267" t="s">
        <v>178</v>
      </c>
      <c r="F23" s="168">
        <f>1000*0.03831</f>
        <v>38.309999999999995</v>
      </c>
      <c r="G23" s="889" t="s">
        <v>354</v>
      </c>
      <c r="H23" s="889" t="s">
        <v>474</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1045</v>
      </c>
      <c r="D24" s="267" t="s">
        <v>519</v>
      </c>
      <c r="E24" s="267" t="s">
        <v>36</v>
      </c>
      <c r="F24" s="168">
        <f>+F23</f>
        <v>38.309999999999995</v>
      </c>
      <c r="G24" s="889" t="s">
        <v>354</v>
      </c>
      <c r="H24" s="889" t="s">
        <v>474</v>
      </c>
      <c r="I24" s="889" t="s">
        <v>570</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96" t="str">
        <f>+E6&amp;" Calculations"</f>
        <v>CO₂ CPU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50" t="s">
        <v>822</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76" t="s">
        <v>823</v>
      </c>
      <c r="X37" s="1093"/>
      <c r="Y37" s="1094"/>
      <c r="Z37" s="1147" t="s">
        <v>824</v>
      </c>
      <c r="AA37" s="1148"/>
      <c r="AB37" s="1147" t="s">
        <v>825</v>
      </c>
      <c r="AC37" s="1149"/>
      <c r="AD37" s="865" t="s">
        <v>826</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827</v>
      </c>
      <c r="Y38" s="865" t="s">
        <v>828</v>
      </c>
      <c r="Z38" s="810" t="s">
        <v>829</v>
      </c>
      <c r="AA38" s="808" t="s">
        <v>830</v>
      </c>
      <c r="AB38" s="810" t="s">
        <v>829</v>
      </c>
      <c r="AC38" s="821" t="s">
        <v>830</v>
      </c>
      <c r="AD38" s="186" t="s">
        <v>831</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832</v>
      </c>
      <c r="Z39" s="671" t="s">
        <v>833</v>
      </c>
      <c r="AA39" s="814">
        <f t="shared" ref="AA39:AA42" si="4">IF(Z39="Ph. Ch.",$Y$52,IF(Z39="Liquid",$Y$51,$Y$49*Z39^$Y$50))</f>
        <v>5000</v>
      </c>
      <c r="AB39" s="809" t="s">
        <v>833</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832</v>
      </c>
      <c r="Z40" s="116" t="s">
        <v>833</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874</v>
      </c>
      <c r="Z41" s="867" t="s">
        <v>820</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874</v>
      </c>
      <c r="Z42" s="868" t="s">
        <v>820</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204" t="s">
        <v>857</v>
      </c>
      <c r="X43" s="1205"/>
      <c r="Y43" s="1205"/>
      <c r="Z43" s="1214"/>
      <c r="AA43" s="1214"/>
      <c r="AB43" s="1214"/>
      <c r="AC43" s="1214"/>
      <c r="AD43" s="1214"/>
      <c r="AE43" s="1205"/>
      <c r="AF43" s="1206"/>
      <c r="AG43" s="385"/>
      <c r="AH43" s="725"/>
      <c r="AI43" s="725"/>
      <c r="AJ43" s="725"/>
      <c r="AK43" s="725"/>
      <c r="AL43" s="725"/>
      <c r="AM43" s="725"/>
      <c r="AN43" s="385"/>
      <c r="AO43" s="113"/>
      <c r="AP43" s="105"/>
      <c r="AQ43" s="241"/>
      <c r="AR43" s="452"/>
    </row>
    <row r="44" spans="1:44" ht="16.2" customHeight="1" x14ac:dyDescent="0.3">
      <c r="A44" s="83"/>
      <c r="B44" s="104"/>
      <c r="C44" s="441"/>
      <c r="D44" s="1103" t="s">
        <v>537</v>
      </c>
      <c r="E44" s="1103"/>
      <c r="F44" s="1103"/>
      <c r="G44" s="1103"/>
      <c r="H44" s="1103"/>
      <c r="I44" s="1103"/>
      <c r="J44" s="1103"/>
      <c r="K44" s="1103"/>
      <c r="L44" s="1103"/>
      <c r="M44" s="1171"/>
      <c r="N44" s="1171"/>
      <c r="O44" s="1171"/>
      <c r="P44" s="1171"/>
      <c r="Q44" s="1171"/>
      <c r="R44" s="1171"/>
      <c r="S44" s="443"/>
      <c r="T44" s="950">
        <f t="shared" ca="1" si="1"/>
        <v>0</v>
      </c>
      <c r="U44" s="105"/>
      <c r="V44" s="806"/>
      <c r="W44" s="865" t="s">
        <v>462</v>
      </c>
      <c r="X44" s="865" t="s">
        <v>858</v>
      </c>
      <c r="Y44" s="865" t="s">
        <v>859</v>
      </c>
      <c r="Z44" s="865" t="s">
        <v>860</v>
      </c>
      <c r="AA44" s="865" t="s">
        <v>861</v>
      </c>
      <c r="AB44" s="865" t="s">
        <v>866</v>
      </c>
      <c r="AC44" s="865" t="s">
        <v>862</v>
      </c>
      <c r="AD44" s="826" t="s">
        <v>863</v>
      </c>
      <c r="AE44" s="827" t="s">
        <v>864</v>
      </c>
      <c r="AF44" s="830" t="s">
        <v>867</v>
      </c>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359</v>
      </c>
      <c r="X48" s="1151"/>
      <c r="Y48" s="865" t="s">
        <v>817</v>
      </c>
      <c r="Z48" s="881"/>
      <c r="AA48" s="881"/>
      <c r="AB48" s="881"/>
      <c r="AC48" s="881"/>
      <c r="AD48" s="507"/>
      <c r="AE48" s="507"/>
      <c r="AF48" s="517"/>
      <c r="AG48" s="88" t="s">
        <v>687</v>
      </c>
      <c r="AH48" s="88" t="s">
        <v>360</v>
      </c>
      <c r="AI48" s="1213" t="s">
        <v>580</v>
      </c>
      <c r="AJ48" s="1213"/>
      <c r="AK48" s="1213"/>
      <c r="AL48" s="1213"/>
      <c r="AM48" s="1213"/>
      <c r="AN48" s="1213"/>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818</v>
      </c>
      <c r="X49" s="1153"/>
      <c r="Y49" s="807">
        <v>40</v>
      </c>
      <c r="Z49" s="507"/>
      <c r="AA49" s="507"/>
      <c r="AB49" s="507"/>
      <c r="AC49" s="507"/>
      <c r="AD49" s="507"/>
      <c r="AE49" s="507"/>
      <c r="AF49" s="517"/>
      <c r="AG49" s="921">
        <v>8</v>
      </c>
      <c r="AH49" s="921" t="s">
        <v>984</v>
      </c>
      <c r="AI49" s="1197" t="s">
        <v>983</v>
      </c>
      <c r="AJ49" s="1197"/>
      <c r="AK49" s="1197"/>
      <c r="AL49" s="1197"/>
      <c r="AM49" s="1197"/>
      <c r="AN49" s="1197"/>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819</v>
      </c>
      <c r="X50" s="1106"/>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775</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820</v>
      </c>
      <c r="X51" s="1106"/>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5" t="s">
        <v>477</v>
      </c>
      <c r="Q52" s="1156"/>
      <c r="R52" s="589" t="s">
        <v>640</v>
      </c>
      <c r="S52" s="833" t="s">
        <v>639</v>
      </c>
      <c r="T52" s="106"/>
      <c r="U52" s="105"/>
      <c r="V52" s="120"/>
      <c r="W52" s="1147" t="s">
        <v>821</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7" t="s">
        <v>478</v>
      </c>
      <c r="Q53" s="1079"/>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7"/>
      <c r="Q54" s="1079"/>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CO₂ CPU</v>
      </c>
      <c r="C57" s="1103"/>
      <c r="D57" s="1103"/>
      <c r="E57" s="1103"/>
      <c r="F57" s="1103"/>
      <c r="G57" s="1104"/>
      <c r="H57" s="1102" t="str">
        <f>+"Estimate Benchmark: "&amp;E6</f>
        <v>Estimate Benchmark: CO₂ CPU</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1020</v>
      </c>
      <c r="C81" s="1135"/>
      <c r="D81" s="1135"/>
      <c r="E81" s="1135"/>
      <c r="F81" s="1135"/>
      <c r="G81" s="1136"/>
      <c r="H81" s="128" t="s">
        <v>687</v>
      </c>
      <c r="I81" s="129" t="s">
        <v>360</v>
      </c>
      <c r="J81" s="1181" t="s">
        <v>580</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W36:AD36"/>
    <mergeCell ref="W37:Y37"/>
    <mergeCell ref="Z37:AA37"/>
    <mergeCell ref="AB37:AC37"/>
    <mergeCell ref="W43:AF43"/>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AI48:AN48"/>
    <mergeCell ref="P52:Q52"/>
    <mergeCell ref="P53:Q53"/>
    <mergeCell ref="P54:Q54"/>
    <mergeCell ref="B57:G57"/>
    <mergeCell ref="H57:N57"/>
    <mergeCell ref="W49:X49"/>
    <mergeCell ref="W50:X50"/>
    <mergeCell ref="W51:X51"/>
    <mergeCell ref="W52:X52"/>
    <mergeCell ref="W48:X48"/>
    <mergeCell ref="AI49:AN49"/>
    <mergeCell ref="O6:S9"/>
    <mergeCell ref="B81:G82"/>
    <mergeCell ref="J81:N81"/>
    <mergeCell ref="J82:N82"/>
    <mergeCell ref="D44:R44"/>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102" t="s">
        <v>270</v>
      </c>
      <c r="D3" s="1103"/>
      <c r="E3" s="1103"/>
      <c r="F3" s="1104"/>
      <c r="G3" s="1102" t="s">
        <v>341</v>
      </c>
      <c r="H3" s="1104"/>
      <c r="J3" s="1102" t="s">
        <v>500</v>
      </c>
      <c r="K3" s="1103"/>
      <c r="L3" s="1103"/>
      <c r="M3" s="1104"/>
      <c r="O3" s="1102" t="str">
        <f>+E6</f>
        <v>CWT</v>
      </c>
      <c r="P3" s="1103"/>
      <c r="Q3" s="1103"/>
      <c r="R3" s="1103"/>
      <c r="S3" s="1104"/>
      <c r="T3" s="106"/>
      <c r="U3" s="104"/>
      <c r="V3" s="120"/>
      <c r="W3" s="1168" t="str">
        <f>+E6&amp;" Diagram"</f>
        <v>CWT Diagram</v>
      </c>
      <c r="X3" s="1169"/>
      <c r="Y3" s="1169"/>
      <c r="Z3" s="1169"/>
      <c r="AA3" s="1169"/>
      <c r="AB3" s="1169"/>
      <c r="AC3" s="1169"/>
      <c r="AD3" s="1169"/>
      <c r="AE3" s="1169"/>
      <c r="AF3" s="1169"/>
      <c r="AG3" s="1169"/>
      <c r="AH3" s="1170"/>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116" t="s">
        <v>265</v>
      </c>
      <c r="E5" s="1117"/>
      <c r="F5" s="211"/>
      <c r="G5" s="1116" t="s">
        <v>267</v>
      </c>
      <c r="H5" s="1117"/>
      <c r="J5" s="734"/>
      <c r="K5" s="735"/>
      <c r="L5" s="214" t="s">
        <v>470</v>
      </c>
      <c r="M5" s="500" t="s">
        <v>504</v>
      </c>
      <c r="O5" s="1039" t="s">
        <v>580</v>
      </c>
      <c r="P5" s="1040"/>
      <c r="Q5" s="1040"/>
      <c r="R5" s="1040"/>
      <c r="S5" s="1041"/>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40" t="s">
        <v>496</v>
      </c>
      <c r="D6" s="589" t="s">
        <v>678</v>
      </c>
      <c r="E6" s="604" t="str">
        <f>+'Plant Overview'!V43</f>
        <v>CWT</v>
      </c>
      <c r="F6" s="212"/>
      <c r="G6" s="85"/>
      <c r="H6" s="395" t="s">
        <v>262</v>
      </c>
      <c r="J6" s="736"/>
      <c r="K6" s="737"/>
      <c r="L6" s="94" t="s">
        <v>471</v>
      </c>
      <c r="M6" s="86" t="s">
        <v>505</v>
      </c>
      <c r="O6" s="1107" t="str">
        <f>+'Plant Overview'!X43</f>
        <v>Heat Rejection Auxiliaries: Cooling water tower</v>
      </c>
      <c r="P6" s="1108"/>
      <c r="Q6" s="1108"/>
      <c r="R6" s="1108"/>
      <c r="S6" s="1109"/>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41"/>
      <c r="D7" s="589" t="s">
        <v>677</v>
      </c>
      <c r="E7" s="548" t="str">
        <f>+'Plant Overview'!W43</f>
        <v>U-700</v>
      </c>
      <c r="F7" s="212"/>
      <c r="G7" s="208"/>
      <c r="H7" s="395" t="s">
        <v>263</v>
      </c>
      <c r="J7" s="736"/>
      <c r="K7" s="737"/>
      <c r="L7" s="214" t="s">
        <v>465</v>
      </c>
      <c r="M7" s="500" t="s">
        <v>503</v>
      </c>
      <c r="O7" s="1110"/>
      <c r="P7" s="1111"/>
      <c r="Q7" s="1111"/>
      <c r="R7" s="1111"/>
      <c r="S7" s="1112"/>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222"/>
      <c r="D8" s="1223" t="s">
        <v>312</v>
      </c>
      <c r="E8" s="1159" t="s">
        <v>316</v>
      </c>
      <c r="F8" s="213"/>
      <c r="G8" s="95"/>
      <c r="H8" s="724" t="s">
        <v>264</v>
      </c>
      <c r="J8" s="736"/>
      <c r="K8" s="737"/>
      <c r="L8" s="214" t="s">
        <v>466</v>
      </c>
      <c r="M8" s="500" t="s">
        <v>501</v>
      </c>
      <c r="O8" s="1110"/>
      <c r="P8" s="1111"/>
      <c r="Q8" s="1111"/>
      <c r="R8" s="1111"/>
      <c r="S8" s="1112"/>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120"/>
      <c r="D9" s="1224"/>
      <c r="E9" s="1160"/>
      <c r="F9" s="213"/>
      <c r="G9" s="110"/>
      <c r="H9" s="726" t="s">
        <v>268</v>
      </c>
      <c r="J9" s="738"/>
      <c r="K9" s="739"/>
      <c r="L9" s="214" t="s">
        <v>467</v>
      </c>
      <c r="M9" s="500" t="s">
        <v>502</v>
      </c>
      <c r="O9" s="1113"/>
      <c r="P9" s="1114"/>
      <c r="Q9" s="1114"/>
      <c r="R9" s="1114"/>
      <c r="S9" s="1115"/>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102" t="s">
        <v>508</v>
      </c>
      <c r="E11" s="1103"/>
      <c r="F11" s="1103"/>
      <c r="G11" s="1103"/>
      <c r="H11" s="1103"/>
      <c r="I11" s="1103"/>
      <c r="J11" s="1103"/>
      <c r="K11" s="1102" t="s">
        <v>507</v>
      </c>
      <c r="L11" s="1103"/>
      <c r="M11" s="1103"/>
      <c r="N11" s="1103"/>
      <c r="O11" s="1104"/>
      <c r="P11" s="1102" t="s">
        <v>510</v>
      </c>
      <c r="Q11" s="1103"/>
      <c r="R11" s="1104"/>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499</v>
      </c>
      <c r="E12" s="728" t="s">
        <v>498</v>
      </c>
      <c r="F12" s="553" t="s">
        <v>464</v>
      </c>
      <c r="G12" s="553" t="s">
        <v>583</v>
      </c>
      <c r="H12" s="553" t="s">
        <v>509</v>
      </c>
      <c r="I12" s="728" t="s">
        <v>506</v>
      </c>
      <c r="J12" s="728" t="s">
        <v>235</v>
      </c>
      <c r="K12" s="538" t="s">
        <v>466</v>
      </c>
      <c r="L12" s="728" t="s">
        <v>467</v>
      </c>
      <c r="M12" s="545" t="s">
        <v>586</v>
      </c>
      <c r="N12" s="546" t="s">
        <v>469</v>
      </c>
      <c r="O12" s="542" t="s">
        <v>468</v>
      </c>
      <c r="P12" s="538" t="s">
        <v>465</v>
      </c>
      <c r="Q12" s="538" t="s">
        <v>471</v>
      </c>
      <c r="R12" s="589" t="s">
        <v>470</v>
      </c>
      <c r="S12" s="589"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1024</v>
      </c>
      <c r="D13" s="716" t="s">
        <v>349</v>
      </c>
      <c r="E13" s="717" t="str">
        <f>+I65</f>
        <v>CWT Cost</v>
      </c>
      <c r="F13" s="717" t="s">
        <v>487</v>
      </c>
      <c r="G13" s="717">
        <v>2020</v>
      </c>
      <c r="H13" s="717" t="s">
        <v>478</v>
      </c>
      <c r="I13" s="717" t="s">
        <v>803</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225"/>
      <c r="Q34" s="1226"/>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102" t="str">
        <f>+"BEC Distribution: "&amp;E6</f>
        <v>BEC Distribution: CWT</v>
      </c>
      <c r="C39" s="1103"/>
      <c r="D39" s="1103"/>
      <c r="E39" s="1103"/>
      <c r="F39" s="1103"/>
      <c r="G39" s="1102" t="str">
        <f>+"Estimate Benchmark: "&amp;E6</f>
        <v>Estimate Benchmark: CWT</v>
      </c>
      <c r="H39" s="1103"/>
      <c r="I39" s="1103"/>
      <c r="J39" s="1104"/>
      <c r="K39" s="1102" t="s">
        <v>634</v>
      </c>
      <c r="L39" s="1103"/>
      <c r="M39" s="1104"/>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589</v>
      </c>
      <c r="L40" s="1039" t="s">
        <v>633</v>
      </c>
      <c r="M40" s="1041"/>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221" t="s">
        <v>349</v>
      </c>
      <c r="M41" s="1221"/>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215"/>
      <c r="M42" s="1216"/>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217"/>
      <c r="M43" s="1218"/>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217"/>
      <c r="M44" s="1218"/>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687</v>
      </c>
      <c r="H64" s="88" t="s">
        <v>360</v>
      </c>
      <c r="I64" s="1211" t="s">
        <v>580</v>
      </c>
      <c r="J64" s="1211"/>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1031</v>
      </c>
      <c r="I65" s="1219" t="s">
        <v>1032</v>
      </c>
      <c r="J65" s="1220"/>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I64:J64"/>
    <mergeCell ref="I65:J65"/>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574</v>
      </c>
      <c r="C1" s="83"/>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462</v>
      </c>
      <c r="C3" s="556" t="s">
        <v>463</v>
      </c>
      <c r="D3" s="554" t="s">
        <v>661</v>
      </c>
      <c r="E3" s="554" t="s">
        <v>662</v>
      </c>
      <c r="F3" s="554" t="s">
        <v>681</v>
      </c>
      <c r="G3" s="554" t="s">
        <v>682</v>
      </c>
      <c r="H3" s="554" t="s">
        <v>875</v>
      </c>
      <c r="I3" s="554" t="s">
        <v>876</v>
      </c>
      <c r="J3" s="554" t="s">
        <v>973</v>
      </c>
      <c r="K3" s="554" t="s">
        <v>441</v>
      </c>
      <c r="L3" s="174"/>
      <c r="M3" s="92"/>
      <c r="N3" s="92"/>
    </row>
    <row r="4" spans="1:15" ht="38.4" customHeight="1" x14ac:dyDescent="0.3">
      <c r="A4" s="83"/>
      <c r="B4" s="87" t="s">
        <v>671</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590</v>
      </c>
      <c r="L5" s="174"/>
      <c r="M5" s="92"/>
      <c r="N5" s="92"/>
    </row>
    <row r="6" spans="1:15" ht="38.4" customHeight="1" thickBot="1" x14ac:dyDescent="0.35">
      <c r="A6" s="83"/>
      <c r="B6" s="276" t="s">
        <v>587</v>
      </c>
      <c r="C6" s="188" t="s">
        <v>588</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v>58.414848327636719</v>
      </c>
      <c r="L6" s="174"/>
      <c r="M6" s="92"/>
      <c r="N6" s="92"/>
    </row>
    <row r="7" spans="1:15" ht="38.4" customHeight="1" thickTop="1" x14ac:dyDescent="0.3">
      <c r="A7" s="83"/>
      <c r="B7" s="291" t="s">
        <v>273</v>
      </c>
      <c r="C7" s="161" t="s">
        <v>657</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v>5.8414850234985352</v>
      </c>
      <c r="L7" s="174"/>
      <c r="M7" s="92"/>
      <c r="N7" s="92"/>
    </row>
    <row r="8" spans="1:15" ht="38.4" customHeight="1" x14ac:dyDescent="0.3">
      <c r="A8" s="83"/>
      <c r="B8" s="159" t="s">
        <v>274</v>
      </c>
      <c r="C8" s="162" t="s">
        <v>657</v>
      </c>
      <c r="D8" s="483">
        <f ca="1">+D19*D6</f>
        <v>0</v>
      </c>
      <c r="E8" s="483">
        <f ca="1">+E19*E6</f>
        <v>2.4662981682961349</v>
      </c>
      <c r="F8" s="483">
        <f ca="1">+F19*F6</f>
        <v>0</v>
      </c>
      <c r="G8" s="483">
        <f ca="1">+G19*G6</f>
        <v>0</v>
      </c>
      <c r="H8" s="483">
        <f t="shared" ref="H8:I8" ca="1" si="1">+H19*H6</f>
        <v>0</v>
      </c>
      <c r="I8" s="483">
        <f t="shared" ca="1" si="1"/>
        <v>0</v>
      </c>
      <c r="J8" s="483">
        <f t="shared" ref="J8" ca="1" si="2">+J19*J6</f>
        <v>0</v>
      </c>
      <c r="K8" s="483">
        <v>2.4662981033325195</v>
      </c>
      <c r="L8" s="83"/>
    </row>
    <row r="9" spans="1:15" ht="38.4" customHeight="1" x14ac:dyDescent="0.3">
      <c r="A9" s="83"/>
      <c r="B9" s="159" t="s">
        <v>275</v>
      </c>
      <c r="C9" s="287" t="s">
        <v>658</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v>13.344525337219238</v>
      </c>
      <c r="L9" s="83"/>
    </row>
    <row r="10" spans="1:15" ht="38.4" customHeight="1" x14ac:dyDescent="0.3">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v>15.810824394226074</v>
      </c>
      <c r="L10" s="83"/>
    </row>
    <row r="11" spans="1:15" ht="38.4" customHeight="1" x14ac:dyDescent="0.3">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v>80.067153930664063</v>
      </c>
      <c r="L11" s="83"/>
    </row>
    <row r="12" spans="1:15" ht="38.4" customHeight="1" x14ac:dyDescent="0.3">
      <c r="A12" s="83"/>
      <c r="B12" s="159" t="s">
        <v>280</v>
      </c>
      <c r="C12" s="160" t="s">
        <v>655</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1.0792362611974518</v>
      </c>
      <c r="K12" s="483">
        <v>12.948539733886719</v>
      </c>
      <c r="L12" s="83"/>
    </row>
    <row r="13" spans="1:15" ht="38.4" customHeight="1" thickBot="1" x14ac:dyDescent="0.35">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2.0177025752821924</v>
      </c>
      <c r="K13" s="483">
        <v>93.015693664550781</v>
      </c>
      <c r="L13" s="83"/>
    </row>
    <row r="14" spans="1:15" ht="38.4" customHeight="1" thickTop="1" x14ac:dyDescent="0.3">
      <c r="A14" s="83"/>
      <c r="B14" s="192" t="s">
        <v>283</v>
      </c>
      <c r="C14" s="161" t="s">
        <v>656</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4.2573524338454254</v>
      </c>
      <c r="K14" s="483">
        <v>105.26512908935547</v>
      </c>
      <c r="L14" s="83"/>
    </row>
    <row r="15" spans="1:15" x14ac:dyDescent="0.3">
      <c r="A15" s="83"/>
      <c r="B15" s="83"/>
      <c r="C15" s="83"/>
      <c r="D15" s="246"/>
      <c r="E15" s="246"/>
      <c r="F15" s="246"/>
      <c r="G15" s="246"/>
      <c r="H15" s="246"/>
      <c r="M15" s="83"/>
      <c r="N15" s="83"/>
      <c r="O15" s="83"/>
    </row>
    <row r="16" spans="1:15" ht="38.4" customHeight="1" x14ac:dyDescent="0.3">
      <c r="A16" s="83"/>
      <c r="B16" s="555" t="s">
        <v>360</v>
      </c>
      <c r="C16" s="555" t="s">
        <v>463</v>
      </c>
      <c r="D16" s="573" t="s">
        <v>661</v>
      </c>
      <c r="E16" s="573" t="s">
        <v>662</v>
      </c>
      <c r="F16" s="573" t="s">
        <v>681</v>
      </c>
      <c r="G16" s="573" t="s">
        <v>682</v>
      </c>
      <c r="H16" s="841" t="s">
        <v>875</v>
      </c>
      <c r="I16" s="841" t="s">
        <v>876</v>
      </c>
      <c r="J16" s="841" t="s">
        <v>973</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657</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 customHeight="1" x14ac:dyDescent="0.3">
      <c r="A19" s="83"/>
      <c r="B19" s="86" t="s">
        <v>274</v>
      </c>
      <c r="C19" s="86" t="s">
        <v>657</v>
      </c>
      <c r="D19" s="527">
        <v>0</v>
      </c>
      <c r="E19" s="527">
        <v>0.3</v>
      </c>
      <c r="F19" s="527">
        <v>0</v>
      </c>
      <c r="G19" s="527">
        <v>0</v>
      </c>
      <c r="H19" s="527">
        <v>0</v>
      </c>
      <c r="I19" s="527">
        <v>0</v>
      </c>
      <c r="J19" s="527">
        <v>0</v>
      </c>
      <c r="K19" s="177"/>
      <c r="L19" s="83"/>
      <c r="M19" s="83"/>
    </row>
    <row r="20" spans="1:15" ht="38.4" customHeight="1" x14ac:dyDescent="0.3">
      <c r="A20" s="83"/>
      <c r="B20" s="86" t="s">
        <v>275</v>
      </c>
      <c r="C20" s="86" t="s">
        <v>658</v>
      </c>
      <c r="D20" s="527">
        <v>0.2</v>
      </c>
      <c r="E20" s="527">
        <v>0.2</v>
      </c>
      <c r="F20" s="527">
        <v>0.2</v>
      </c>
      <c r="G20" s="527">
        <v>0.2</v>
      </c>
      <c r="H20" s="527">
        <v>0.2</v>
      </c>
      <c r="I20" s="527">
        <v>0.2</v>
      </c>
      <c r="J20" s="527">
        <v>0.2</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655</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27" t="s">
        <v>632</v>
      </c>
      <c r="C28" s="1228"/>
      <c r="D28" s="92"/>
      <c r="E28" s="288"/>
      <c r="G28" s="83"/>
      <c r="H28" s="83"/>
      <c r="I28" s="83"/>
      <c r="J28" s="83"/>
      <c r="K28" s="83"/>
      <c r="L28" s="83"/>
      <c r="M28" s="83"/>
      <c r="N28" s="83"/>
      <c r="O28" s="83"/>
    </row>
    <row r="29" spans="1:15" ht="36" customHeight="1" x14ac:dyDescent="0.3">
      <c r="A29" s="83"/>
      <c r="B29" s="513" t="s">
        <v>464</v>
      </c>
      <c r="C29" s="565" t="str">
        <f>+'Plant Overview'!E9</f>
        <v>€</v>
      </c>
      <c r="D29" s="570" t="s">
        <v>496</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477</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593</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591</v>
      </c>
      <c r="C34" s="571">
        <v>93.015693664550781</v>
      </c>
      <c r="D34" s="571">
        <f>+C34/'Cash Flow Analysis'!D5*1000</f>
        <v>97478.248049156129</v>
      </c>
      <c r="E34" s="83"/>
      <c r="F34" s="83"/>
      <c r="G34" s="83"/>
      <c r="H34" s="83"/>
      <c r="I34" s="83"/>
      <c r="J34" s="83"/>
      <c r="K34" s="83"/>
      <c r="L34" s="83"/>
      <c r="M34" s="83"/>
      <c r="N34" s="83"/>
      <c r="O34" s="83"/>
    </row>
    <row r="35" spans="1:15" ht="36" customHeight="1" x14ac:dyDescent="0.3">
      <c r="A35" s="83"/>
      <c r="B35" s="568" t="s">
        <v>592</v>
      </c>
      <c r="C35" s="571">
        <v>105.26512908935547</v>
      </c>
      <c r="D35" s="572">
        <f>+C35/'Cash Flow Analysis'!D5*1000</f>
        <v>110315.36679502534</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027" t="s">
        <v>1107</v>
      </c>
      <c r="C37" s="436" t="s">
        <v>595</v>
      </c>
      <c r="D37" s="257"/>
      <c r="E37" s="83"/>
      <c r="F37" s="83"/>
      <c r="G37" s="83"/>
      <c r="H37" s="83"/>
      <c r="I37" s="83"/>
      <c r="J37" s="83"/>
      <c r="K37" s="83"/>
      <c r="L37" s="83"/>
      <c r="M37" s="83"/>
      <c r="N37" s="83"/>
      <c r="O37" s="83"/>
    </row>
    <row r="38" spans="1:15" ht="36" customHeight="1" x14ac:dyDescent="0.3">
      <c r="A38" s="83"/>
      <c r="B38" s="1033"/>
      <c r="C38" s="292"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D4:K5 D14:J14 D13:E13 D12:J12 D6 D7:J7 D8:J8 D9:J9 D10:J10 D11:J11 G6:J6"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4" r:id="rId7" name="Button 10">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43" t="s">
        <v>575</v>
      </c>
      <c r="C2" s="1243"/>
      <c r="D2" s="105"/>
      <c r="E2" s="105"/>
      <c r="F2" s="105"/>
      <c r="G2" s="105"/>
      <c r="H2" s="105"/>
      <c r="I2" s="105"/>
      <c r="J2" s="83"/>
      <c r="K2" s="83"/>
      <c r="L2" s="83"/>
      <c r="M2" s="83"/>
      <c r="N2" s="83"/>
      <c r="O2" s="83"/>
      <c r="P2" s="83"/>
      <c r="Q2" s="83"/>
      <c r="R2" s="83"/>
      <c r="S2" s="1102" t="s">
        <v>644</v>
      </c>
      <c r="T2" s="1103"/>
      <c r="U2" s="1103"/>
      <c r="V2" s="1103"/>
      <c r="W2" s="1103"/>
      <c r="X2" s="1103"/>
      <c r="Y2" s="1104"/>
    </row>
    <row r="3" spans="1:33" ht="21" customHeight="1" x14ac:dyDescent="0.3">
      <c r="A3" s="83"/>
      <c r="B3" s="1243"/>
      <c r="C3" s="1243"/>
      <c r="D3" s="105"/>
      <c r="E3" s="105"/>
      <c r="F3" s="105"/>
      <c r="G3" s="105"/>
      <c r="H3" s="105"/>
      <c r="I3" s="105"/>
      <c r="J3" s="463"/>
      <c r="K3" s="463"/>
      <c r="L3" s="463"/>
      <c r="M3" s="105"/>
      <c r="N3" s="83"/>
      <c r="O3" s="83"/>
      <c r="P3" s="1116" t="s">
        <v>267</v>
      </c>
      <c r="Q3" s="1117"/>
      <c r="T3" s="83"/>
      <c r="U3" s="83"/>
      <c r="V3" s="83"/>
    </row>
    <row r="4" spans="1:33" ht="21" customHeight="1" x14ac:dyDescent="0.3">
      <c r="A4" s="83"/>
      <c r="B4" s="1232" t="s">
        <v>496</v>
      </c>
      <c r="C4" s="1233"/>
      <c r="D4" s="105"/>
      <c r="E4" s="105"/>
      <c r="F4" s="259" t="s">
        <v>578</v>
      </c>
      <c r="G4" s="260" t="s">
        <v>579</v>
      </c>
      <c r="H4" s="105"/>
      <c r="I4" s="105"/>
      <c r="J4" s="105"/>
      <c r="K4" s="247"/>
      <c r="L4" s="245"/>
      <c r="M4" s="242"/>
      <c r="N4" s="83"/>
      <c r="O4" s="83"/>
      <c r="P4" s="448"/>
      <c r="Q4" s="395" t="s">
        <v>262</v>
      </c>
      <c r="S4" s="128" t="s">
        <v>687</v>
      </c>
      <c r="T4" s="129" t="s">
        <v>360</v>
      </c>
      <c r="U4" s="1181" t="s">
        <v>580</v>
      </c>
      <c r="V4" s="1182"/>
      <c r="W4" s="1182"/>
      <c r="X4" s="1182"/>
      <c r="Y4" s="1183"/>
    </row>
    <row r="5" spans="1:33" ht="21" customHeight="1" x14ac:dyDescent="0.3">
      <c r="A5" s="83"/>
      <c r="B5" s="1234"/>
      <c r="C5" s="1235"/>
      <c r="D5" s="105"/>
      <c r="E5" s="258" t="s">
        <v>458</v>
      </c>
      <c r="F5" s="257"/>
      <c r="G5" s="257"/>
      <c r="H5" s="105"/>
      <c r="I5" s="105"/>
      <c r="J5" s="105"/>
      <c r="K5" s="242"/>
      <c r="L5" s="245"/>
      <c r="M5" s="242"/>
      <c r="N5" s="83"/>
      <c r="O5" s="83"/>
      <c r="P5" s="521"/>
      <c r="Q5" s="395" t="s">
        <v>263</v>
      </c>
      <c r="S5" s="866">
        <v>10</v>
      </c>
      <c r="T5" s="917" t="s">
        <v>985</v>
      </c>
      <c r="U5" s="1219" t="s">
        <v>986</v>
      </c>
      <c r="V5" s="1240"/>
      <c r="W5" s="1240"/>
      <c r="X5" s="1240"/>
      <c r="Y5" s="1241"/>
    </row>
    <row r="6" spans="1:33" ht="21" customHeight="1" x14ac:dyDescent="0.3">
      <c r="A6" s="83"/>
      <c r="B6" s="1232"/>
      <c r="C6" s="1233"/>
      <c r="D6" s="105"/>
      <c r="E6" s="258" t="s">
        <v>577</v>
      </c>
      <c r="F6" s="257"/>
      <c r="G6" s="257"/>
      <c r="H6" s="105"/>
      <c r="I6" s="105"/>
      <c r="J6" s="105"/>
      <c r="K6" s="456"/>
      <c r="L6" s="245"/>
      <c r="M6" s="242"/>
      <c r="N6" s="83"/>
      <c r="O6" s="83"/>
      <c r="P6" s="522"/>
      <c r="Q6" s="473" t="s">
        <v>264</v>
      </c>
      <c r="S6" s="904">
        <v>11</v>
      </c>
      <c r="T6" s="918" t="s">
        <v>1034</v>
      </c>
      <c r="U6" s="1219" t="s">
        <v>1035</v>
      </c>
      <c r="V6" s="1240"/>
      <c r="W6" s="1240"/>
      <c r="X6" s="1240"/>
      <c r="Y6" s="1241"/>
    </row>
    <row r="7" spans="1:33" s="83" customFormat="1" ht="21" customHeight="1" x14ac:dyDescent="0.3">
      <c r="B7" s="1236"/>
      <c r="C7" s="1237"/>
      <c r="D7" s="105"/>
      <c r="E7" s="258" t="s">
        <v>459</v>
      </c>
      <c r="F7" s="257"/>
      <c r="G7" s="257"/>
      <c r="H7" s="105"/>
      <c r="I7" s="105"/>
      <c r="J7" s="105"/>
      <c r="K7" s="242"/>
      <c r="L7" s="245"/>
      <c r="M7" s="242"/>
      <c r="P7" s="523"/>
      <c r="Q7" s="510" t="s">
        <v>268</v>
      </c>
      <c r="S7" s="628"/>
      <c r="T7" s="629"/>
      <c r="U7" s="1193"/>
      <c r="V7" s="1194"/>
      <c r="W7" s="1194"/>
      <c r="X7" s="1194"/>
      <c r="Y7" s="1195"/>
    </row>
    <row r="8" spans="1:33" s="83" customFormat="1" ht="21" customHeight="1" x14ac:dyDescent="0.3">
      <c r="B8" s="1236"/>
      <c r="C8" s="1237"/>
      <c r="D8" s="105"/>
      <c r="E8" s="1232" t="s">
        <v>728</v>
      </c>
      <c r="F8" s="1238"/>
      <c r="G8" s="1233"/>
      <c r="H8" s="105"/>
      <c r="I8" s="105"/>
      <c r="J8" s="105"/>
      <c r="K8" s="242"/>
      <c r="L8" s="245"/>
      <c r="M8" s="242"/>
      <c r="S8" s="628"/>
      <c r="T8" s="629"/>
      <c r="U8" s="1193"/>
      <c r="V8" s="1194"/>
      <c r="W8" s="1194"/>
      <c r="X8" s="1194"/>
      <c r="Y8" s="1195"/>
    </row>
    <row r="9" spans="1:33" ht="21" customHeight="1" x14ac:dyDescent="0.3">
      <c r="A9" s="83"/>
      <c r="B9" s="1234"/>
      <c r="C9" s="1235"/>
      <c r="D9" s="460"/>
      <c r="E9" s="1234"/>
      <c r="F9" s="1239"/>
      <c r="G9" s="1235"/>
      <c r="H9" s="105"/>
      <c r="I9" s="105"/>
      <c r="J9" s="242"/>
      <c r="K9" s="242"/>
      <c r="L9" s="242"/>
      <c r="M9" s="242"/>
      <c r="N9" s="83"/>
      <c r="O9" s="83"/>
      <c r="P9" s="277" t="s">
        <v>680</v>
      </c>
      <c r="Q9" s="574">
        <f>+'Cost Conversion'!L2</f>
        <v>1.2</v>
      </c>
      <c r="S9" s="628"/>
      <c r="T9" s="629"/>
      <c r="U9" s="1193"/>
      <c r="V9" s="1194"/>
      <c r="W9" s="1194"/>
      <c r="X9" s="1194"/>
      <c r="Y9" s="1195"/>
    </row>
    <row r="10" spans="1:33" ht="21" customHeight="1" x14ac:dyDescent="0.3">
      <c r="A10" s="83"/>
      <c r="B10" s="105"/>
      <c r="C10" s="105"/>
      <c r="D10" s="460"/>
      <c r="E10" s="105"/>
      <c r="F10" s="244"/>
      <c r="G10" s="105"/>
      <c r="H10" s="105"/>
      <c r="I10" s="105"/>
      <c r="J10" s="242"/>
      <c r="K10" s="242"/>
      <c r="L10" s="242"/>
      <c r="M10" s="242"/>
      <c r="N10" s="83"/>
      <c r="O10" s="83"/>
      <c r="P10" s="277" t="s">
        <v>1063</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29" t="s">
        <v>449</v>
      </c>
      <c r="C14" s="1230"/>
      <c r="D14" s="1230"/>
      <c r="E14" s="1230"/>
      <c r="F14" s="1230"/>
      <c r="G14" s="1231"/>
      <c r="H14" s="203"/>
      <c r="I14" s="1229" t="s">
        <v>696</v>
      </c>
      <c r="J14" s="1230"/>
      <c r="K14" s="1230"/>
      <c r="L14" s="1230"/>
      <c r="M14" s="1230"/>
      <c r="N14" s="1231"/>
      <c r="O14" s="83"/>
      <c r="P14" s="1102" t="s">
        <v>451</v>
      </c>
      <c r="Q14" s="1103"/>
      <c r="R14" s="1103"/>
      <c r="S14" s="1103"/>
      <c r="T14" s="1103"/>
      <c r="U14" s="1104"/>
      <c r="V14" s="241"/>
      <c r="W14" s="468" t="str">
        <f>+B19</f>
        <v>Total FOM</v>
      </c>
      <c r="AC14" s="1242" t="s">
        <v>1039</v>
      </c>
      <c r="AD14" s="1043"/>
      <c r="AE14" s="1044"/>
    </row>
    <row r="15" spans="1:33" ht="21" customHeight="1" x14ac:dyDescent="0.3">
      <c r="A15" s="83"/>
      <c r="B15" s="575" t="s">
        <v>674</v>
      </c>
      <c r="C15" s="576" t="s">
        <v>665</v>
      </c>
      <c r="D15" s="575" t="s">
        <v>672</v>
      </c>
      <c r="E15" s="576" t="s">
        <v>576</v>
      </c>
      <c r="F15" s="575" t="s">
        <v>673</v>
      </c>
      <c r="G15" s="658" t="s">
        <v>705</v>
      </c>
      <c r="H15" s="461"/>
      <c r="I15" s="575" t="s">
        <v>674</v>
      </c>
      <c r="J15" s="576" t="s">
        <v>665</v>
      </c>
      <c r="K15" s="575" t="s">
        <v>672</v>
      </c>
      <c r="L15" s="576" t="s">
        <v>576</v>
      </c>
      <c r="M15" s="575" t="s">
        <v>673</v>
      </c>
      <c r="N15" s="577" t="s">
        <v>706</v>
      </c>
      <c r="O15" s="462"/>
      <c r="P15" s="578" t="s">
        <v>674</v>
      </c>
      <c r="Q15" s="579" t="s">
        <v>665</v>
      </c>
      <c r="R15" s="580" t="s">
        <v>672</v>
      </c>
      <c r="S15" s="579" t="s">
        <v>576</v>
      </c>
      <c r="T15" s="580" t="s">
        <v>673</v>
      </c>
      <c r="U15" s="581" t="s">
        <v>706</v>
      </c>
      <c r="V15" s="241"/>
      <c r="W15" s="468" t="str">
        <f>+I16</f>
        <v>NG</v>
      </c>
      <c r="AC15" s="885" t="s">
        <v>884</v>
      </c>
      <c r="AD15" s="222">
        <v>3.843</v>
      </c>
      <c r="AE15" s="887" t="s">
        <v>744</v>
      </c>
    </row>
    <row r="16" spans="1:33" ht="21" customHeight="1" x14ac:dyDescent="0.3">
      <c r="A16" s="83"/>
      <c r="B16" s="889" t="s">
        <v>880</v>
      </c>
      <c r="C16" s="665">
        <v>20</v>
      </c>
      <c r="D16" s="889" t="s">
        <v>1025</v>
      </c>
      <c r="E16" s="665">
        <v>60000</v>
      </c>
      <c r="F16" s="842" t="s">
        <v>1026</v>
      </c>
      <c r="G16" s="168">
        <f>+C16*E16/10^6</f>
        <v>1.2</v>
      </c>
      <c r="H16" s="203"/>
      <c r="I16" s="97" t="str">
        <f>+'Plant Overview'!H72</f>
        <v>NG</v>
      </c>
      <c r="J16" s="392">
        <f>+'Plant Overview'!E58*3600*Q10*'Plant Overview'!I58/10^6</f>
        <v>4070646.3815999995</v>
      </c>
      <c r="K16" s="708" t="s">
        <v>892</v>
      </c>
      <c r="L16" s="665">
        <f>+'Cash Flow Analysis'!G43</f>
        <v>6.5</v>
      </c>
      <c r="M16" s="843" t="s">
        <v>879</v>
      </c>
      <c r="N16" s="519">
        <f>+J16*L16/10^6</f>
        <v>26.459201480399997</v>
      </c>
      <c r="O16" s="83"/>
      <c r="P16" s="511" t="s">
        <v>737</v>
      </c>
      <c r="Q16" s="392">
        <f>+'Plant Overview'!E42*3600*Q10/1000</f>
        <v>13133.596109564582</v>
      </c>
      <c r="R16" s="511" t="s">
        <v>900</v>
      </c>
      <c r="S16" s="665">
        <v>50</v>
      </c>
      <c r="T16" s="842" t="s">
        <v>901</v>
      </c>
      <c r="U16" s="168">
        <f>+Q16*S16/10^6</f>
        <v>0.65667980547822902</v>
      </c>
      <c r="V16" s="241"/>
      <c r="W16" s="468" t="str">
        <f>+I17</f>
        <v>-</v>
      </c>
      <c r="AC16" s="888" t="s">
        <v>895</v>
      </c>
      <c r="AD16" s="168">
        <v>7.665</v>
      </c>
      <c r="AE16" s="890" t="s">
        <v>744</v>
      </c>
    </row>
    <row r="17" spans="1:31" ht="21" customHeight="1" x14ac:dyDescent="0.35">
      <c r="A17" s="83"/>
      <c r="B17" s="889" t="s">
        <v>881</v>
      </c>
      <c r="C17" s="175">
        <f>+'Plant CAPEX'!K13</f>
        <v>93.015693664550781</v>
      </c>
      <c r="D17" s="889" t="s">
        <v>591</v>
      </c>
      <c r="E17" s="846">
        <v>2.5000000000000001E-2</v>
      </c>
      <c r="F17" s="254" t="s">
        <v>1027</v>
      </c>
      <c r="G17" s="168">
        <f>+C17*E17</f>
        <v>2.3253923416137696</v>
      </c>
      <c r="H17" s="248"/>
      <c r="I17" s="438" t="str">
        <f>+'Plant Overview'!H73</f>
        <v>-</v>
      </c>
      <c r="J17" s="266"/>
      <c r="K17" s="130"/>
      <c r="L17" s="665"/>
      <c r="M17" s="438"/>
      <c r="N17" s="518">
        <f>+J17*L17/10^6</f>
        <v>0</v>
      </c>
      <c r="O17" s="83"/>
      <c r="P17" s="511" t="s">
        <v>890</v>
      </c>
      <c r="Q17" s="392">
        <f>+AD22*-1*Q10</f>
        <v>43884.572239079804</v>
      </c>
      <c r="R17" s="511" t="s">
        <v>902</v>
      </c>
      <c r="S17" s="665">
        <f>+'Cash Flow Analysis'!G44</f>
        <v>60</v>
      </c>
      <c r="T17" s="842" t="s">
        <v>903</v>
      </c>
      <c r="U17" s="168">
        <f>+Q17*S17/10^6</f>
        <v>2.6330743343447884</v>
      </c>
      <c r="V17" s="241"/>
      <c r="W17" s="468" t="str">
        <f>+P25</f>
        <v>Total VOM (exl. Fuel &amp; CO2 tax)</v>
      </c>
      <c r="AC17" s="1178" t="s">
        <v>893</v>
      </c>
      <c r="AD17" s="1179"/>
      <c r="AE17" s="1180"/>
    </row>
    <row r="18" spans="1:31" ht="21" customHeight="1" x14ac:dyDescent="0.35">
      <c r="A18" s="83"/>
      <c r="B18" s="889" t="s">
        <v>882</v>
      </c>
      <c r="C18" s="175">
        <f>+'Plant CAPEX'!K13</f>
        <v>93.015693664550781</v>
      </c>
      <c r="D18" s="889" t="s">
        <v>591</v>
      </c>
      <c r="E18" s="845">
        <v>0.01</v>
      </c>
      <c r="F18" s="254" t="s">
        <v>1027</v>
      </c>
      <c r="G18" s="168">
        <f>+C18*E18</f>
        <v>0.9301569366455078</v>
      </c>
      <c r="H18" s="248"/>
      <c r="I18" s="105"/>
      <c r="J18" s="83"/>
      <c r="K18" s="83"/>
      <c r="L18" s="241"/>
      <c r="M18" s="241"/>
      <c r="N18" s="241"/>
      <c r="O18" s="241"/>
      <c r="P18" s="708" t="s">
        <v>883</v>
      </c>
      <c r="Q18" s="392">
        <f>+AD21*3600*Q10/1000</f>
        <v>223593.18387264482</v>
      </c>
      <c r="R18" s="708" t="s">
        <v>900</v>
      </c>
      <c r="S18" s="665">
        <v>10</v>
      </c>
      <c r="T18" s="842" t="s">
        <v>901</v>
      </c>
      <c r="U18" s="168">
        <f>+Q18*S18/10^6</f>
        <v>2.2359318387264482</v>
      </c>
      <c r="V18" s="241"/>
      <c r="AC18" s="888" t="s">
        <v>771</v>
      </c>
      <c r="AD18" s="168">
        <f>+('Unit-400 - WGS'!Q48+'Unit-400 - WGS'!Q49)/AD19</f>
        <v>8.2191666666666663</v>
      </c>
      <c r="AE18" s="890" t="s">
        <v>896</v>
      </c>
    </row>
    <row r="19" spans="1:31" ht="21" customHeight="1" x14ac:dyDescent="0.3">
      <c r="A19" s="83"/>
      <c r="B19" s="1204" t="s">
        <v>450</v>
      </c>
      <c r="C19" s="1205"/>
      <c r="D19" s="1205"/>
      <c r="E19" s="1205"/>
      <c r="F19" s="1206"/>
      <c r="G19" s="518">
        <f>SUM(Tabla60[cost/year])</f>
        <v>4.4555492782592774</v>
      </c>
      <c r="H19" s="203"/>
      <c r="I19" s="105"/>
      <c r="J19" s="83"/>
      <c r="K19" s="83"/>
      <c r="L19" s="241"/>
      <c r="M19" s="241"/>
      <c r="N19" s="241"/>
      <c r="O19" s="241"/>
      <c r="P19" s="708" t="s">
        <v>884</v>
      </c>
      <c r="Q19" s="392">
        <f>+AD15*3600*Q10/1000</f>
        <v>121275.85679999999</v>
      </c>
      <c r="R19" s="708" t="s">
        <v>900</v>
      </c>
      <c r="S19" s="665">
        <v>6</v>
      </c>
      <c r="T19" s="842" t="s">
        <v>901</v>
      </c>
      <c r="U19" s="168">
        <f>+Q19*S19/10^6</f>
        <v>0.72765514079999993</v>
      </c>
      <c r="V19" s="241"/>
      <c r="AC19" s="888" t="s">
        <v>894</v>
      </c>
      <c r="AD19" s="889">
        <v>3</v>
      </c>
      <c r="AE19" s="890" t="s">
        <v>899</v>
      </c>
    </row>
    <row r="20" spans="1:31" ht="21" customHeight="1" x14ac:dyDescent="0.3">
      <c r="A20" s="83"/>
      <c r="B20" s="236"/>
      <c r="C20" s="236"/>
      <c r="D20" s="236"/>
      <c r="E20" s="236"/>
      <c r="F20" s="236"/>
      <c r="G20" s="163"/>
      <c r="H20" s="203"/>
      <c r="I20" s="105"/>
      <c r="J20" s="83"/>
      <c r="K20" s="83"/>
      <c r="L20" s="241"/>
      <c r="M20" s="241"/>
      <c r="N20" s="241"/>
      <c r="O20" s="241"/>
      <c r="P20" s="708" t="s">
        <v>885</v>
      </c>
      <c r="Q20" s="392">
        <f>+AD16*3600*Q10/1000</f>
        <v>241889.00399999999</v>
      </c>
      <c r="R20" s="708" t="s">
        <v>900</v>
      </c>
      <c r="S20" s="665">
        <v>0.35</v>
      </c>
      <c r="T20" s="842" t="s">
        <v>901</v>
      </c>
      <c r="U20" s="168">
        <f>+Q20*S20/10^6</f>
        <v>8.4661151399999982E-2</v>
      </c>
      <c r="V20" s="241"/>
      <c r="AC20" s="888" t="s">
        <v>886</v>
      </c>
      <c r="AD20" s="168">
        <f>+'Unit-200 - GSR'!Q49/AD19</f>
        <v>9.0865900617434257</v>
      </c>
      <c r="AE20" s="890" t="s">
        <v>900</v>
      </c>
    </row>
    <row r="21" spans="1:31" ht="21" customHeight="1" x14ac:dyDescent="0.3">
      <c r="A21" s="83"/>
      <c r="H21" s="247"/>
      <c r="I21" s="105"/>
      <c r="J21" s="83"/>
      <c r="K21" s="83"/>
      <c r="L21" s="241"/>
      <c r="M21" s="241"/>
      <c r="N21" s="241"/>
      <c r="O21" s="241"/>
      <c r="P21" s="708" t="s">
        <v>886</v>
      </c>
      <c r="Q21" s="392">
        <f>+AD20</f>
        <v>9.0865900617434257</v>
      </c>
      <c r="R21" s="708" t="s">
        <v>900</v>
      </c>
      <c r="S21" s="665">
        <f>+'Unit-200 - GSR'!O49*10^6</f>
        <v>15000</v>
      </c>
      <c r="T21" s="842" t="s">
        <v>905</v>
      </c>
      <c r="U21" s="168">
        <f>+Q21*S21/10^6/Q9</f>
        <v>0.11358237577179282</v>
      </c>
      <c r="V21" s="241"/>
      <c r="AC21" s="888" t="s">
        <v>898</v>
      </c>
      <c r="AD21" s="168">
        <v>7.0852404451746898</v>
      </c>
      <c r="AE21" s="890" t="s">
        <v>744</v>
      </c>
    </row>
    <row r="22" spans="1:31" ht="21" customHeight="1" x14ac:dyDescent="0.3">
      <c r="P22" s="708" t="s">
        <v>887</v>
      </c>
      <c r="Q22" s="392">
        <f>+AD18</f>
        <v>8.2191666666666663</v>
      </c>
      <c r="R22" s="708" t="s">
        <v>896</v>
      </c>
      <c r="S22" s="665">
        <f>+'Unit-400 - WGS'!X37</f>
        <v>16100</v>
      </c>
      <c r="T22" s="842" t="s">
        <v>906</v>
      </c>
      <c r="U22" s="168">
        <f>+Q22*S22/10^6/Q9</f>
        <v>0.11027381944444442</v>
      </c>
      <c r="AC22" s="888" t="s">
        <v>761</v>
      </c>
      <c r="AD22" s="168">
        <f>+'Plant Overview'!E23</f>
        <v>-5.0062254436550084</v>
      </c>
      <c r="AE22" s="890" t="s">
        <v>734</v>
      </c>
    </row>
    <row r="23" spans="1:31" ht="21" customHeight="1" x14ac:dyDescent="0.3">
      <c r="P23" s="708" t="s">
        <v>888</v>
      </c>
      <c r="Q23" s="392">
        <f>+AD28</f>
        <v>347.20245369863045</v>
      </c>
      <c r="R23" s="708" t="s">
        <v>897</v>
      </c>
      <c r="S23" s="665">
        <v>1.1000000000000001</v>
      </c>
      <c r="T23" s="708" t="s">
        <v>913</v>
      </c>
      <c r="U23" s="168">
        <f>+Q23*S23/10^6/Q9</f>
        <v>3.1826891589041128E-4</v>
      </c>
      <c r="AC23" s="888" t="s">
        <v>904</v>
      </c>
      <c r="AD23" s="171">
        <v>0.81615310544538899</v>
      </c>
      <c r="AE23" s="890" t="s">
        <v>744</v>
      </c>
    </row>
    <row r="24" spans="1:31" ht="21" customHeight="1" x14ac:dyDescent="0.3">
      <c r="P24" s="708" t="s">
        <v>889</v>
      </c>
      <c r="Q24" s="392">
        <f>+-1*AD23*3600*Q10/1000</f>
        <v>-25755.833240403412</v>
      </c>
      <c r="R24" s="708" t="s">
        <v>900</v>
      </c>
      <c r="S24" s="665">
        <v>2.1</v>
      </c>
      <c r="T24" s="708" t="s">
        <v>891</v>
      </c>
      <c r="U24" s="168">
        <f>+Q24*S24/10^6/Q9</f>
        <v>-4.5072708170705973E-2</v>
      </c>
      <c r="AC24" s="888" t="s">
        <v>908</v>
      </c>
      <c r="AD24" s="889">
        <v>34.9</v>
      </c>
      <c r="AE24" s="890" t="s">
        <v>907</v>
      </c>
    </row>
    <row r="25" spans="1:31" ht="21" customHeight="1" x14ac:dyDescent="0.3">
      <c r="P25" s="1204" t="s">
        <v>571</v>
      </c>
      <c r="Q25" s="1205"/>
      <c r="R25" s="1205"/>
      <c r="S25" s="1205"/>
      <c r="T25" s="1206"/>
      <c r="U25" s="520">
        <f>SUM(Tabla58[cost/year])</f>
        <v>6.5171040267108857</v>
      </c>
      <c r="AC25" s="888" t="s">
        <v>910</v>
      </c>
      <c r="AD25" s="392">
        <f>60310.6336862924/3600</f>
        <v>16.752953801747889</v>
      </c>
      <c r="AE25" s="890" t="s">
        <v>909</v>
      </c>
    </row>
    <row r="26" spans="1:31" ht="21" customHeight="1" x14ac:dyDescent="0.3">
      <c r="P26" s="1204" t="s">
        <v>494</v>
      </c>
      <c r="Q26" s="1205"/>
      <c r="R26" s="1205"/>
      <c r="S26" s="1205"/>
      <c r="T26" s="1205"/>
      <c r="U26" s="518">
        <v>0</v>
      </c>
      <c r="AC26" s="888" t="s">
        <v>894</v>
      </c>
      <c r="AD26" s="392">
        <v>3</v>
      </c>
      <c r="AE26" s="890" t="s">
        <v>452</v>
      </c>
    </row>
    <row r="27" spans="1:31" ht="21" customHeight="1" x14ac:dyDescent="0.3">
      <c r="P27" s="241"/>
      <c r="Q27" s="241"/>
      <c r="R27" s="241"/>
      <c r="S27" s="241"/>
      <c r="T27" s="241"/>
      <c r="U27" s="241"/>
      <c r="AC27" s="888" t="s">
        <v>911</v>
      </c>
      <c r="AD27" s="889">
        <v>0.5</v>
      </c>
      <c r="AE27" s="890" t="s">
        <v>912</v>
      </c>
    </row>
    <row r="28" spans="1:31" ht="21" customHeight="1" x14ac:dyDescent="0.3">
      <c r="P28" s="241"/>
      <c r="Q28" s="241"/>
      <c r="R28" s="241"/>
      <c r="S28" s="242"/>
      <c r="T28" s="241"/>
      <c r="U28" s="241"/>
      <c r="AC28" s="891" t="s">
        <v>1038</v>
      </c>
      <c r="AD28" s="451">
        <f>+AD24/AD25/AD26*AD27*1000</f>
        <v>347.20245369863045</v>
      </c>
      <c r="AE28" s="893" t="s">
        <v>897</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AC14:AE14"/>
    <mergeCell ref="AC17:AE17"/>
    <mergeCell ref="S2:Y2"/>
    <mergeCell ref="P3:Q3"/>
    <mergeCell ref="B2:C3"/>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9"/>
  <sheetViews>
    <sheetView showGridLines="0" tabSelected="1" topLeftCell="A25" zoomScale="70" zoomScaleNormal="70" workbookViewId="0">
      <selection activeCell="B41" sqref="B41:K41"/>
    </sheetView>
  </sheetViews>
  <sheetFormatPr defaultColWidth="11.109375" defaultRowHeight="14.4" x14ac:dyDescent="0.3"/>
  <cols>
    <col min="1" max="1" width="5" customWidth="1"/>
    <col min="2" max="3" width="13.6640625" customWidth="1"/>
    <col min="4" max="46" width="12.6640625" customWidth="1"/>
    <col min="70" max="70" width="0" hidden="1" customWidth="1"/>
  </cols>
  <sheetData>
    <row r="1" spans="1:70" ht="25.95" customHeight="1" x14ac:dyDescent="0.3">
      <c r="B1" s="1262" t="s">
        <v>584</v>
      </c>
      <c r="C1" s="1263"/>
      <c r="D1" s="1263"/>
      <c r="E1" s="1264"/>
      <c r="G1" s="1260" t="s">
        <v>495</v>
      </c>
      <c r="H1" s="1261"/>
      <c r="I1" s="1260" t="s">
        <v>584</v>
      </c>
      <c r="J1" s="1261"/>
    </row>
    <row r="2" spans="1:70" ht="20.399999999999999" customHeight="1" x14ac:dyDescent="0.3">
      <c r="G2" s="667"/>
      <c r="H2" s="668"/>
      <c r="I2" s="671"/>
      <c r="J2" s="672"/>
      <c r="S2" s="246"/>
      <c r="T2" s="246"/>
      <c r="V2" s="246"/>
      <c r="BR2" t="s">
        <v>712</v>
      </c>
    </row>
    <row r="3" spans="1:70" ht="20.399999999999999" customHeight="1" x14ac:dyDescent="0.3">
      <c r="A3" s="83"/>
      <c r="B3" s="1096" t="s">
        <v>716</v>
      </c>
      <c r="C3" s="1097"/>
      <c r="D3" s="1097"/>
      <c r="E3" s="1265"/>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663</v>
      </c>
    </row>
    <row r="4" spans="1:70" ht="20.399999999999999" customHeight="1" x14ac:dyDescent="0.3">
      <c r="A4" s="83"/>
      <c r="B4" s="1244" t="s">
        <v>572</v>
      </c>
      <c r="C4" s="1244"/>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711</v>
      </c>
    </row>
    <row r="5" spans="1:70" ht="20.399999999999999" customHeight="1" x14ac:dyDescent="0.3">
      <c r="A5" s="83"/>
      <c r="B5" s="1244" t="s">
        <v>666</v>
      </c>
      <c r="C5" s="1244"/>
      <c r="D5" s="682">
        <f>+'Plant Overview'!I32</f>
        <v>0.95421999806197799</v>
      </c>
      <c r="E5" s="535" t="str">
        <f>+'Plant Overview'!J32</f>
        <v>kg/s</v>
      </c>
      <c r="F5" s="83"/>
      <c r="G5" s="1249" t="s">
        <v>720</v>
      </c>
      <c r="H5" s="1249"/>
      <c r="I5" s="1117" t="s">
        <v>663</v>
      </c>
      <c r="J5" s="1118"/>
      <c r="K5" s="83"/>
      <c r="S5" s="177"/>
      <c r="T5" s="177"/>
      <c r="U5" s="177"/>
      <c r="V5" s="177"/>
      <c r="W5" s="83"/>
      <c r="X5" s="83"/>
      <c r="Y5" s="83"/>
      <c r="Z5" s="83"/>
      <c r="AA5" s="83"/>
      <c r="AB5" s="83"/>
      <c r="AC5" s="83"/>
      <c r="AD5" s="83"/>
      <c r="AE5" s="83"/>
      <c r="AF5" s="83"/>
      <c r="AG5" s="83"/>
      <c r="AH5" s="83"/>
      <c r="AI5" s="83"/>
      <c r="AJ5" s="83"/>
      <c r="AK5" s="83"/>
      <c r="BR5" t="s">
        <v>710</v>
      </c>
    </row>
    <row r="6" spans="1:70" ht="20.399999999999999" customHeight="1" x14ac:dyDescent="0.3">
      <c r="A6" s="83"/>
      <c r="B6" s="1244" t="s">
        <v>667</v>
      </c>
      <c r="C6" s="1244"/>
      <c r="D6" s="682">
        <f>D5/D4</f>
        <v>0.34398702165175848</v>
      </c>
      <c r="E6" s="86" t="str">
        <f>+E5&amp;" / "&amp;E4</f>
        <v>kg/s / kg/s</v>
      </c>
      <c r="F6" s="83"/>
      <c r="G6" s="1245" t="s">
        <v>663</v>
      </c>
      <c r="H6" s="1246"/>
      <c r="I6" s="681">
        <f>+IF(I5="LCOP",D20,"-")</f>
        <v>1.6767696458905514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20.399999999999999" customHeight="1" x14ac:dyDescent="0.3">
      <c r="A7" s="83"/>
      <c r="B7" s="1244" t="s">
        <v>591</v>
      </c>
      <c r="C7" s="1244"/>
      <c r="D7" s="683">
        <f>+'Plant CAPEX'!K13</f>
        <v>93.015693664550781</v>
      </c>
      <c r="E7" s="684" t="str">
        <f>+J7</f>
        <v>M€</v>
      </c>
      <c r="F7" s="83"/>
      <c r="G7" s="1245" t="s">
        <v>710</v>
      </c>
      <c r="H7" s="1246"/>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20.399999999999999" customHeight="1" x14ac:dyDescent="0.3">
      <c r="A8" s="83"/>
      <c r="B8" s="1266" t="s">
        <v>458</v>
      </c>
      <c r="C8" s="1266"/>
      <c r="D8" s="682">
        <f>+'Plant OPEX'!G19</f>
        <v>4.4555492782592774</v>
      </c>
      <c r="E8" s="684" t="str">
        <f>+"M"&amp;'Plant Overview'!$E$9&amp;"/y"</f>
        <v>M€/y</v>
      </c>
      <c r="F8" s="83"/>
      <c r="G8" s="1245" t="s">
        <v>711</v>
      </c>
      <c r="H8" s="1246"/>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20.399999999999999" customHeight="1" x14ac:dyDescent="0.3">
      <c r="A9" s="83"/>
      <c r="B9" s="1244" t="str">
        <f>+'Plant OPEX'!I16</f>
        <v>NG</v>
      </c>
      <c r="C9" s="1244"/>
      <c r="D9" s="682">
        <f>+'Plant OPEX'!N16</f>
        <v>26.459201480399997</v>
      </c>
      <c r="E9" s="684" t="str">
        <f>+"M"&amp;'Plant Overview'!$E$9&amp;"/y"</f>
        <v>M€/y</v>
      </c>
      <c r="F9" s="83"/>
      <c r="G9" s="1255" t="s">
        <v>717</v>
      </c>
      <c r="H9" s="1256"/>
      <c r="I9" s="380" cm="1">
        <f t="array" ref="I9">+MATCH(TRUE,G38:AT38&gt;0,0)</f>
        <v>9</v>
      </c>
      <c r="J9" s="86" t="s">
        <v>452</v>
      </c>
      <c r="K9" s="83"/>
      <c r="S9" s="177"/>
      <c r="T9" s="177"/>
      <c r="U9" s="177"/>
      <c r="V9" s="177"/>
      <c r="W9" s="83"/>
      <c r="X9" s="83"/>
      <c r="Y9" s="83"/>
      <c r="Z9" s="83"/>
      <c r="AA9" s="83"/>
      <c r="AB9" s="83"/>
      <c r="AC9" s="83"/>
      <c r="AD9" s="83"/>
      <c r="AE9" s="83"/>
      <c r="AF9" s="83"/>
      <c r="AG9" s="83"/>
      <c r="AH9" s="83"/>
      <c r="AI9" s="83"/>
      <c r="AJ9" s="83"/>
      <c r="AK9" s="83"/>
    </row>
    <row r="10" spans="1:70" ht="20.399999999999999" customHeight="1" x14ac:dyDescent="0.3">
      <c r="A10" s="83"/>
      <c r="B10" s="1244" t="str">
        <f>+'Plant OPEX'!I17</f>
        <v>-</v>
      </c>
      <c r="C10" s="1244"/>
      <c r="D10" s="682">
        <f>+'Plant OPEX'!N17</f>
        <v>0</v>
      </c>
      <c r="E10" s="684" t="str">
        <f>+"M"&amp;'Plant Overview'!$E$9&amp;"/y"</f>
        <v>M€/y</v>
      </c>
      <c r="F10" s="83"/>
      <c r="G10" s="1255" t="s">
        <v>718</v>
      </c>
      <c r="H10" s="1256"/>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20.399999999999999" customHeight="1" x14ac:dyDescent="0.3">
      <c r="A11" s="83"/>
      <c r="B11" s="1244" t="s">
        <v>459</v>
      </c>
      <c r="C11" s="1244"/>
      <c r="D11" s="682">
        <f>+'Plant OPEX'!U25</f>
        <v>6.5171040267108857</v>
      </c>
      <c r="E11" s="684" t="str">
        <f>+"M"&amp;'Plant Overview'!$E$9&amp;"/y"</f>
        <v>M€/y</v>
      </c>
      <c r="F11" s="83"/>
      <c r="G11" s="1247" t="s">
        <v>676</v>
      </c>
      <c r="H11" s="1248"/>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20.399999999999999" customHeight="1" x14ac:dyDescent="0.3">
      <c r="A13" s="83"/>
      <c r="B13" s="1252" t="s">
        <v>636</v>
      </c>
      <c r="C13" s="1253"/>
      <c r="D13" s="1253"/>
      <c r="E13" s="1254"/>
      <c r="F13" s="83"/>
      <c r="G13" s="1252" t="s">
        <v>719</v>
      </c>
      <c r="H13" s="1253"/>
      <c r="I13" s="1253"/>
      <c r="J13" s="1254"/>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20.399999999999999" customHeight="1" x14ac:dyDescent="0.3">
      <c r="A14" s="83"/>
      <c r="B14" s="1259" t="s">
        <v>460</v>
      </c>
      <c r="C14" s="1259"/>
      <c r="D14" s="590">
        <v>0.65</v>
      </c>
      <c r="E14" s="86" t="s">
        <v>354</v>
      </c>
      <c r="F14" s="83"/>
      <c r="G14" s="678"/>
      <c r="H14" s="589" t="str">
        <f>+'Plant Overview'!E6</f>
        <v xml:space="preserve">GSR-H₂ </v>
      </c>
      <c r="I14" s="980" t="s">
        <v>359</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20.399999999999999" customHeight="1" x14ac:dyDescent="0.3">
      <c r="A15" s="83"/>
      <c r="B15" s="1259" t="s">
        <v>461</v>
      </c>
      <c r="C15" s="1259"/>
      <c r="D15" s="590">
        <v>0.9</v>
      </c>
      <c r="E15" s="86" t="s">
        <v>354</v>
      </c>
      <c r="F15" s="83"/>
      <c r="G15" s="685" t="s">
        <v>679</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20.399999999999999" customHeight="1" x14ac:dyDescent="0.3">
      <c r="A16" s="83"/>
      <c r="B16" s="1258" t="s">
        <v>635</v>
      </c>
      <c r="C16" s="1258"/>
      <c r="D16" s="591">
        <v>30</v>
      </c>
      <c r="E16" s="86" t="s">
        <v>452</v>
      </c>
      <c r="F16" s="83"/>
      <c r="G16" s="685" t="str">
        <f>+G6</f>
        <v>LCOP</v>
      </c>
      <c r="H16" s="536">
        <f>+IF(I5="LCOP",SUM(H17:H22),"-")</f>
        <v>1.6767696458905523</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20.399999999999999" customHeight="1" x14ac:dyDescent="0.3">
      <c r="A17" s="83"/>
      <c r="B17" s="1258" t="s">
        <v>439</v>
      </c>
      <c r="C17" s="1258"/>
      <c r="D17" s="592">
        <v>3</v>
      </c>
      <c r="E17" s="86" t="s">
        <v>452</v>
      </c>
      <c r="F17" s="83"/>
      <c r="G17" s="206" t="str">
        <f>+B29</f>
        <v>Capital</v>
      </c>
      <c r="H17" s="480">
        <f>+IF(I5="LCOP",SUMPRODUCT(C29:AT29,C36:AT36)/SUMPRODUCT(C27:AT27,C36:AT36)*I6,"-")</f>
        <v>0.41275354974375744</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3" t="str">
        <f>+B30</f>
        <v>FOM</v>
      </c>
      <c r="H18" s="481">
        <f>+IF(I5="LCOP",SUMPRODUCT(C30:AT30,C36:AT36)/SUMPRODUCT(C27:AT27,C36:AT36)*I6,"-")</f>
        <v>0.16892684333938834</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252" t="s">
        <v>715</v>
      </c>
      <c r="C19" s="1253"/>
      <c r="D19" s="1253"/>
      <c r="E19" s="1254"/>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257" t="s">
        <v>713</v>
      </c>
      <c r="C20" s="1257"/>
      <c r="D20" s="826">
        <v>1.6767696458905514</v>
      </c>
      <c r="E20" s="86" t="str">
        <f>+J6</f>
        <v>€/kg</v>
      </c>
      <c r="F20" s="83"/>
      <c r="G20" s="193" t="str">
        <f>+B33</f>
        <v>CO2 tax</v>
      </c>
      <c r="H20" s="481">
        <f>+IF(I5="LCOP",SUMPRODUCT(C33:AT33,C37:AT37)/SUMPRODUCT(C27:AT27,C37:AT37)*I6,"-")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259" t="s">
        <v>440</v>
      </c>
      <c r="C21" s="1259"/>
      <c r="D21" s="593">
        <v>0.1</v>
      </c>
      <c r="E21" s="666" t="s">
        <v>457</v>
      </c>
      <c r="F21" s="83"/>
      <c r="G21" s="193" t="str">
        <f>+B31</f>
        <v>NG</v>
      </c>
      <c r="H21" s="481">
        <f>+IF(I5="LCOP",SUMPRODUCT(C31:AJ31,C37:AJ37)/SUMPRODUCT(C27:AJ27,C37:AJ37)*I6,"-")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250" t="s">
        <v>714</v>
      </c>
      <c r="C22" s="1251"/>
      <c r="D22" s="86">
        <f>HLOOKUP(D16,C24:AT39,16)</f>
        <v>-9.8809849191638932E-14</v>
      </c>
      <c r="E22" s="86" t="str">
        <f>+E7</f>
        <v>M€</v>
      </c>
      <c r="F22" s="83"/>
      <c r="G22" s="194" t="str">
        <f>+B32</f>
        <v>-</v>
      </c>
      <c r="H22" s="689">
        <f>+IF(I5="LCOP",SUMPRODUCT(C32:AT32,C37:AT37)/SUMPRODUCT(C27:AT27,C37:AT37)*I6,"-")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20.399999999999999" customHeight="1" x14ac:dyDescent="0.3">
      <c r="A25" s="83"/>
      <c r="B25" s="608" t="s">
        <v>443</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20.399999999999999" customHeight="1" x14ac:dyDescent="0.3">
      <c r="A26" s="83"/>
      <c r="B26" s="675" t="s">
        <v>442</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20.399999999999999" customHeight="1" x14ac:dyDescent="0.3">
      <c r="A27" s="83"/>
      <c r="B27" s="607" t="s">
        <v>664</v>
      </c>
      <c r="C27" s="563"/>
      <c r="D27" s="563"/>
      <c r="E27" s="563"/>
      <c r="F27" s="563"/>
      <c r="G27" s="659">
        <f>365.25*24*G25*$D$20*3600*'Plant Overview'!$I$32/10^6</f>
        <v>32.820050217842805</v>
      </c>
      <c r="H27" s="660">
        <f>365.25*24*H25*$D$20*3600*'Plant Overview'!$I$32/10^6</f>
        <v>45.443146455474647</v>
      </c>
      <c r="I27" s="660">
        <f>365.25*24*I25*$D$20*3600*'Plant Overview'!$I$32/10^6</f>
        <v>45.443146455474647</v>
      </c>
      <c r="J27" s="660">
        <f>365.25*24*J25*$D$20*3600*'Plant Overview'!$I$32/10^6</f>
        <v>45.443146455474647</v>
      </c>
      <c r="K27" s="660">
        <f>365.25*24*K25*$D$20*3600*'Plant Overview'!$I$32/10^6</f>
        <v>45.443146455474647</v>
      </c>
      <c r="L27" s="660">
        <f>365.25*24*L25*$D$20*3600*'Plant Overview'!$I$32/10^6</f>
        <v>45.443146455474647</v>
      </c>
      <c r="M27" s="660">
        <f>365.25*24*M25*$D$20*3600*'Plant Overview'!$I$32/10^6</f>
        <v>45.443146455474647</v>
      </c>
      <c r="N27" s="660">
        <f>365.25*24*N25*$D$20*3600*'Plant Overview'!$I$32/10^6</f>
        <v>45.443146455474647</v>
      </c>
      <c r="O27" s="660">
        <f>365.25*24*O25*$D$20*3600*'Plant Overview'!$I$32/10^6</f>
        <v>45.443146455474647</v>
      </c>
      <c r="P27" s="660">
        <f>365.25*24*P25*$D$20*3600*'Plant Overview'!$I$32/10^6</f>
        <v>45.443146455474647</v>
      </c>
      <c r="Q27" s="660">
        <f>365.25*24*Q25*$D$20*3600*'Plant Overview'!$I$32/10^6</f>
        <v>45.443146455474647</v>
      </c>
      <c r="R27" s="660">
        <f>365.25*24*R25*$D$20*3600*'Plant Overview'!$I$32/10^6</f>
        <v>45.443146455474647</v>
      </c>
      <c r="S27" s="660">
        <f>365.25*24*S25*$D$20*3600*'Plant Overview'!$I$32/10^6</f>
        <v>45.443146455474647</v>
      </c>
      <c r="T27" s="660">
        <f>365.25*24*T25*$D$20*3600*'Plant Overview'!$I$32/10^6</f>
        <v>45.443146455474647</v>
      </c>
      <c r="U27" s="660">
        <f>365.25*24*U25*$D$20*3600*'Plant Overview'!$I$32/10^6</f>
        <v>45.443146455474647</v>
      </c>
      <c r="V27" s="660">
        <f>365.25*24*V25*$D$20*3600*'Plant Overview'!$I$32/10^6</f>
        <v>45.443146455474647</v>
      </c>
      <c r="W27" s="660">
        <f>365.25*24*W25*$D$20*3600*'Plant Overview'!$I$32/10^6</f>
        <v>45.443146455474647</v>
      </c>
      <c r="X27" s="660">
        <f>365.25*24*X25*$D$20*3600*'Plant Overview'!$I$32/10^6</f>
        <v>45.443146455474647</v>
      </c>
      <c r="Y27" s="660">
        <f>365.25*24*Y25*$D$20*3600*'Plant Overview'!$I$32/10^6</f>
        <v>45.443146455474647</v>
      </c>
      <c r="Z27" s="660">
        <f>365.25*24*Z25*$D$20*3600*'Plant Overview'!$I$32/10^6</f>
        <v>45.443146455474647</v>
      </c>
      <c r="AA27" s="660">
        <f>365.25*24*AA25*$D$20*3600*'Plant Overview'!$I$32/10^6</f>
        <v>45.443146455474647</v>
      </c>
      <c r="AB27" s="660">
        <f>365.25*24*AB25*$D$20*3600*'Plant Overview'!$I$32/10^6</f>
        <v>45.443146455474647</v>
      </c>
      <c r="AC27" s="660">
        <f>365.25*24*AC25*$D$20*3600*'Plant Overview'!$I$32/10^6</f>
        <v>45.443146455474647</v>
      </c>
      <c r="AD27" s="660">
        <f>365.25*24*AD25*$D$20*3600*'Plant Overview'!$I$32/10^6</f>
        <v>45.443146455474647</v>
      </c>
      <c r="AE27" s="660">
        <f>365.25*24*AE25*$D$20*3600*'Plant Overview'!$I$32/10^6</f>
        <v>45.443146455474647</v>
      </c>
      <c r="AF27" s="660">
        <f>365.25*24*AF25*$D$20*3600*'Plant Overview'!$I$32/10^6</f>
        <v>45.443146455474647</v>
      </c>
      <c r="AG27" s="660">
        <f>365.25*24*AG25*$D$20*3600*'Plant Overview'!$I$32/10^6</f>
        <v>45.443146455474647</v>
      </c>
      <c r="AH27" s="660">
        <f>365.25*24*AH25*$D$20*3600*'Plant Overview'!$I$32/10^6</f>
        <v>45.443146455474647</v>
      </c>
      <c r="AI27" s="660">
        <f>365.25*24*AI25*$D$20*3600*'Plant Overview'!$I$32/10^6</f>
        <v>45.443146455474647</v>
      </c>
      <c r="AJ27" s="660">
        <f>365.25*24*AJ25*$D$20*3600*'Plant Overview'!$I$32/10^6</f>
        <v>45.443146455474647</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20.399999999999999" customHeight="1" x14ac:dyDescent="0.3">
      <c r="A28" s="83"/>
      <c r="B28" s="656" t="s">
        <v>444</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20.399999999999999" customHeight="1" x14ac:dyDescent="0.3">
      <c r="A29" s="83"/>
      <c r="B29" s="605" t="s">
        <v>438</v>
      </c>
      <c r="C29" s="559">
        <f>IF($D$17&gt;3,$D$7/$D$17,0)</f>
        <v>0</v>
      </c>
      <c r="D29" s="614">
        <f>IF($D$17&gt;2,$D$7/$D$17,0)</f>
        <v>31.005231221516926</v>
      </c>
      <c r="E29" s="614">
        <f>IF($D$17&gt;1,$D$7/$D$17,0)</f>
        <v>31.005231221516926</v>
      </c>
      <c r="F29" s="614">
        <f>$D$7/$D$17</f>
        <v>31.005231221516926</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20.399999999999999" customHeight="1" x14ac:dyDescent="0.3">
      <c r="A30" s="83"/>
      <c r="B30" s="606" t="s">
        <v>458</v>
      </c>
      <c r="C30" s="559"/>
      <c r="D30" s="614"/>
      <c r="E30" s="614"/>
      <c r="F30" s="614"/>
      <c r="G30" s="615">
        <f>+$D$8</f>
        <v>4.4555492782592774</v>
      </c>
      <c r="H30" s="614">
        <f t="shared" ref="H30:AT30" si="1">+IF(H24&lt;=$D$16,$D$8,0)</f>
        <v>4.4555492782592774</v>
      </c>
      <c r="I30" s="614">
        <f t="shared" si="1"/>
        <v>4.4555492782592774</v>
      </c>
      <c r="J30" s="614">
        <f t="shared" si="1"/>
        <v>4.4555492782592774</v>
      </c>
      <c r="K30" s="614">
        <f t="shared" si="1"/>
        <v>4.4555492782592774</v>
      </c>
      <c r="L30" s="614">
        <f t="shared" si="1"/>
        <v>4.4555492782592774</v>
      </c>
      <c r="M30" s="614">
        <f t="shared" si="1"/>
        <v>4.4555492782592774</v>
      </c>
      <c r="N30" s="614">
        <f t="shared" si="1"/>
        <v>4.4555492782592774</v>
      </c>
      <c r="O30" s="614">
        <f t="shared" si="1"/>
        <v>4.4555492782592774</v>
      </c>
      <c r="P30" s="614">
        <f t="shared" si="1"/>
        <v>4.4555492782592774</v>
      </c>
      <c r="Q30" s="614">
        <f t="shared" si="1"/>
        <v>4.4555492782592774</v>
      </c>
      <c r="R30" s="614">
        <f t="shared" si="1"/>
        <v>4.4555492782592774</v>
      </c>
      <c r="S30" s="614">
        <f t="shared" si="1"/>
        <v>4.4555492782592774</v>
      </c>
      <c r="T30" s="614">
        <f t="shared" si="1"/>
        <v>4.4555492782592774</v>
      </c>
      <c r="U30" s="614">
        <f t="shared" si="1"/>
        <v>4.4555492782592774</v>
      </c>
      <c r="V30" s="614">
        <f t="shared" si="1"/>
        <v>4.4555492782592774</v>
      </c>
      <c r="W30" s="614">
        <f t="shared" si="1"/>
        <v>4.4555492782592774</v>
      </c>
      <c r="X30" s="614">
        <f t="shared" si="1"/>
        <v>4.4555492782592774</v>
      </c>
      <c r="Y30" s="614">
        <f t="shared" si="1"/>
        <v>4.4555492782592774</v>
      </c>
      <c r="Z30" s="614">
        <f t="shared" si="1"/>
        <v>4.4555492782592774</v>
      </c>
      <c r="AA30" s="614">
        <f t="shared" si="1"/>
        <v>4.4555492782592774</v>
      </c>
      <c r="AB30" s="614">
        <f t="shared" si="1"/>
        <v>4.4555492782592774</v>
      </c>
      <c r="AC30" s="614">
        <f t="shared" si="1"/>
        <v>4.4555492782592774</v>
      </c>
      <c r="AD30" s="614">
        <f t="shared" si="1"/>
        <v>4.4555492782592774</v>
      </c>
      <c r="AE30" s="614">
        <f t="shared" si="1"/>
        <v>4.4555492782592774</v>
      </c>
      <c r="AF30" s="614">
        <f t="shared" si="1"/>
        <v>4.4555492782592774</v>
      </c>
      <c r="AG30" s="614">
        <f t="shared" si="1"/>
        <v>4.4555492782592774</v>
      </c>
      <c r="AH30" s="614">
        <f t="shared" si="1"/>
        <v>4.4555492782592774</v>
      </c>
      <c r="AI30" s="614">
        <f t="shared" si="1"/>
        <v>4.4555492782592774</v>
      </c>
      <c r="AJ30" s="614">
        <f t="shared" si="1"/>
        <v>4.4555492782592774</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20.399999999999999"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20.399999999999999"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20.399999999999999" customHeight="1" x14ac:dyDescent="0.3">
      <c r="A33" s="83"/>
      <c r="B33" s="605" t="s">
        <v>494</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20.399999999999999"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20.399999999999999" customHeight="1" x14ac:dyDescent="0.3">
      <c r="A35" s="83"/>
      <c r="B35" s="657" t="s">
        <v>441</v>
      </c>
      <c r="C35" s="563">
        <f t="shared" ref="C35:AT35" si="5">C27-SUM(C29:C34)</f>
        <v>0</v>
      </c>
      <c r="D35" s="660">
        <f t="shared" si="5"/>
        <v>-31.005231221516926</v>
      </c>
      <c r="E35" s="660">
        <f t="shared" si="5"/>
        <v>-31.005231221516926</v>
      </c>
      <c r="F35" s="660">
        <f t="shared" si="5"/>
        <v>-31.005231221516926</v>
      </c>
      <c r="G35" s="659">
        <f>G27-SUM(G29:G34)</f>
        <v>6.9299023599614529</v>
      </c>
      <c r="H35" s="660">
        <f t="shared" si="5"/>
        <v>11.308922220815575</v>
      </c>
      <c r="I35" s="660">
        <f t="shared" si="5"/>
        <v>11.308922220815575</v>
      </c>
      <c r="J35" s="660">
        <f t="shared" si="5"/>
        <v>11.308922220815575</v>
      </c>
      <c r="K35" s="660">
        <f t="shared" si="5"/>
        <v>11.308922220815575</v>
      </c>
      <c r="L35" s="660">
        <f t="shared" si="5"/>
        <v>11.308922220815575</v>
      </c>
      <c r="M35" s="660">
        <f t="shared" si="5"/>
        <v>11.308922220815575</v>
      </c>
      <c r="N35" s="660">
        <f t="shared" si="5"/>
        <v>11.308922220815575</v>
      </c>
      <c r="O35" s="660">
        <f t="shared" si="5"/>
        <v>11.308922220815575</v>
      </c>
      <c r="P35" s="660">
        <f t="shared" si="5"/>
        <v>11.308922220815575</v>
      </c>
      <c r="Q35" s="660">
        <f t="shared" si="5"/>
        <v>11.308922220815575</v>
      </c>
      <c r="R35" s="660">
        <f t="shared" si="5"/>
        <v>11.308922220815575</v>
      </c>
      <c r="S35" s="660">
        <f t="shared" si="5"/>
        <v>11.308922220815575</v>
      </c>
      <c r="T35" s="660">
        <f t="shared" si="5"/>
        <v>11.308922220815575</v>
      </c>
      <c r="U35" s="660">
        <f t="shared" si="5"/>
        <v>11.308922220815575</v>
      </c>
      <c r="V35" s="660">
        <f t="shared" si="5"/>
        <v>11.308922220815575</v>
      </c>
      <c r="W35" s="660">
        <f t="shared" si="5"/>
        <v>11.308922220815575</v>
      </c>
      <c r="X35" s="660">
        <f t="shared" si="5"/>
        <v>11.308922220815575</v>
      </c>
      <c r="Y35" s="660">
        <f t="shared" si="5"/>
        <v>11.308922220815575</v>
      </c>
      <c r="Z35" s="660">
        <f t="shared" si="5"/>
        <v>11.308922220815575</v>
      </c>
      <c r="AA35" s="660">
        <f t="shared" si="5"/>
        <v>11.308922220815575</v>
      </c>
      <c r="AB35" s="660">
        <f t="shared" si="5"/>
        <v>11.308922220815575</v>
      </c>
      <c r="AC35" s="660">
        <f t="shared" si="5"/>
        <v>11.308922220815575</v>
      </c>
      <c r="AD35" s="660">
        <f t="shared" si="5"/>
        <v>11.308922220815575</v>
      </c>
      <c r="AE35" s="660">
        <f t="shared" si="5"/>
        <v>11.308922220815575</v>
      </c>
      <c r="AF35" s="660">
        <f t="shared" si="5"/>
        <v>11.308922220815575</v>
      </c>
      <c r="AG35" s="660">
        <f t="shared" si="5"/>
        <v>11.308922220815575</v>
      </c>
      <c r="AH35" s="660">
        <f t="shared" si="5"/>
        <v>11.308922220815575</v>
      </c>
      <c r="AI35" s="660">
        <f t="shared" si="5"/>
        <v>11.308922220815575</v>
      </c>
      <c r="AJ35" s="660">
        <f t="shared" si="5"/>
        <v>11.308922220815575</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20.399999999999999" customHeight="1" x14ac:dyDescent="0.3">
      <c r="A36" s="83"/>
      <c r="B36" s="605" t="s">
        <v>445</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20.399999999999999" customHeight="1" x14ac:dyDescent="0.3">
      <c r="A37" s="83"/>
      <c r="B37" s="605" t="s">
        <v>446</v>
      </c>
      <c r="C37" s="559">
        <f>C35*C36</f>
        <v>0</v>
      </c>
      <c r="D37" s="614">
        <f>D35*D36</f>
        <v>-28.18657383774266</v>
      </c>
      <c r="E37" s="614">
        <f>E35*E36</f>
        <v>-25.624158034311506</v>
      </c>
      <c r="F37" s="614">
        <f>F35*F36</f>
        <v>-23.294689122101367</v>
      </c>
      <c r="G37" s="615">
        <f t="shared" ref="G37:AT37" si="7">G35*G36</f>
        <v>4.733216556219829</v>
      </c>
      <c r="H37" s="614">
        <f t="shared" si="7"/>
        <v>7.0219509477218836</v>
      </c>
      <c r="I37" s="614">
        <f t="shared" si="7"/>
        <v>6.3835917706562562</v>
      </c>
      <c r="J37" s="614">
        <f t="shared" si="7"/>
        <v>5.8032652460511418</v>
      </c>
      <c r="K37" s="614">
        <f t="shared" si="7"/>
        <v>5.2756956782283106</v>
      </c>
      <c r="L37" s="614">
        <f t="shared" si="7"/>
        <v>4.796086980207555</v>
      </c>
      <c r="M37" s="614">
        <f t="shared" si="7"/>
        <v>4.3600790729159584</v>
      </c>
      <c r="N37" s="614">
        <f t="shared" si="7"/>
        <v>3.9637082481054162</v>
      </c>
      <c r="O37" s="614">
        <f t="shared" si="7"/>
        <v>3.6033711346412867</v>
      </c>
      <c r="P37" s="614">
        <f t="shared" si="7"/>
        <v>3.2757919405829878</v>
      </c>
      <c r="Q37" s="614">
        <f t="shared" si="7"/>
        <v>2.9779926732572615</v>
      </c>
      <c r="R37" s="614">
        <f t="shared" si="7"/>
        <v>2.7072660665975103</v>
      </c>
      <c r="S37" s="614">
        <f t="shared" si="7"/>
        <v>2.4611509696341001</v>
      </c>
      <c r="T37" s="614">
        <f t="shared" si="7"/>
        <v>2.2374099723946363</v>
      </c>
      <c r="U37" s="614">
        <f t="shared" si="7"/>
        <v>2.0340090658133057</v>
      </c>
      <c r="V37" s="614">
        <f t="shared" si="7"/>
        <v>1.8490991507393686</v>
      </c>
      <c r="W37" s="614">
        <f t="shared" si="7"/>
        <v>1.6809992279448804</v>
      </c>
      <c r="X37" s="614">
        <f t="shared" si="7"/>
        <v>1.5281811163135275</v>
      </c>
      <c r="Y37" s="614">
        <f t="shared" si="7"/>
        <v>1.3892555602850247</v>
      </c>
      <c r="Z37" s="614">
        <f t="shared" si="7"/>
        <v>1.2629596002591132</v>
      </c>
      <c r="AA37" s="614">
        <f t="shared" si="7"/>
        <v>1.1481450911446485</v>
      </c>
      <c r="AB37" s="614">
        <f t="shared" si="7"/>
        <v>1.0437682646769531</v>
      </c>
      <c r="AC37" s="614">
        <f t="shared" si="7"/>
        <v>0.94888024061541187</v>
      </c>
      <c r="AD37" s="614">
        <f t="shared" si="7"/>
        <v>0.86261840055946515</v>
      </c>
      <c r="AE37" s="614">
        <f t="shared" si="7"/>
        <v>0.78419854596315008</v>
      </c>
      <c r="AF37" s="614">
        <f t="shared" si="7"/>
        <v>0.71290776905740916</v>
      </c>
      <c r="AG37" s="614">
        <f t="shared" si="7"/>
        <v>0.64809797187037188</v>
      </c>
      <c r="AH37" s="614">
        <f t="shared" si="7"/>
        <v>0.58917997442761072</v>
      </c>
      <c r="AI37" s="614">
        <f t="shared" si="7"/>
        <v>0.53561815857055517</v>
      </c>
      <c r="AJ37" s="614">
        <f t="shared" si="7"/>
        <v>0.48692559870050467</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20.399999999999999" customHeight="1" x14ac:dyDescent="0.3">
      <c r="A38" s="83"/>
      <c r="B38" s="605" t="s">
        <v>447</v>
      </c>
      <c r="C38" s="559">
        <f>+C37</f>
        <v>0</v>
      </c>
      <c r="D38" s="614">
        <f>D35+C38</f>
        <v>-31.005231221516926</v>
      </c>
      <c r="E38" s="614">
        <f>E35+D38</f>
        <v>-62.010462443033852</v>
      </c>
      <c r="F38" s="614">
        <f>F35+E38</f>
        <v>-93.015693664550781</v>
      </c>
      <c r="G38" s="615">
        <f>G35+F38</f>
        <v>-86.085791304589321</v>
      </c>
      <c r="H38" s="614">
        <f t="shared" ref="H38:AT38" si="8">IF(H24&lt;=$D$16,H35+G38,0)</f>
        <v>-74.776869083773747</v>
      </c>
      <c r="I38" s="614">
        <f t="shared" si="8"/>
        <v>-63.467946862958172</v>
      </c>
      <c r="J38" s="614">
        <f t="shared" si="8"/>
        <v>-52.159024642142597</v>
      </c>
      <c r="K38" s="614">
        <f t="shared" si="8"/>
        <v>-40.850102421327023</v>
      </c>
      <c r="L38" s="614">
        <f t="shared" si="8"/>
        <v>-29.541180200511448</v>
      </c>
      <c r="M38" s="614">
        <f t="shared" si="8"/>
        <v>-18.232257979695873</v>
      </c>
      <c r="N38" s="614">
        <f t="shared" si="8"/>
        <v>-6.9233357588802988</v>
      </c>
      <c r="O38" s="614">
        <f t="shared" si="8"/>
        <v>4.3855864619352758</v>
      </c>
      <c r="P38" s="614">
        <f t="shared" si="8"/>
        <v>15.69450868275085</v>
      </c>
      <c r="Q38" s="614">
        <f t="shared" si="8"/>
        <v>27.003430903566425</v>
      </c>
      <c r="R38" s="614">
        <f t="shared" si="8"/>
        <v>38.312353124382</v>
      </c>
      <c r="S38" s="614">
        <f t="shared" si="8"/>
        <v>49.621275345197574</v>
      </c>
      <c r="T38" s="614">
        <f t="shared" si="8"/>
        <v>60.930197566013149</v>
      </c>
      <c r="U38" s="614">
        <f t="shared" si="8"/>
        <v>72.239119786828724</v>
      </c>
      <c r="V38" s="614">
        <f t="shared" si="8"/>
        <v>83.548042007644298</v>
      </c>
      <c r="W38" s="614">
        <f t="shared" si="8"/>
        <v>94.856964228459873</v>
      </c>
      <c r="X38" s="614">
        <f t="shared" si="8"/>
        <v>106.16588644927545</v>
      </c>
      <c r="Y38" s="614">
        <f t="shared" si="8"/>
        <v>117.47480867009102</v>
      </c>
      <c r="Z38" s="614">
        <f t="shared" si="8"/>
        <v>128.78373089090661</v>
      </c>
      <c r="AA38" s="614">
        <f t="shared" si="8"/>
        <v>140.0926531117222</v>
      </c>
      <c r="AB38" s="614">
        <f t="shared" si="8"/>
        <v>151.40157533253779</v>
      </c>
      <c r="AC38" s="614">
        <f t="shared" si="8"/>
        <v>162.71049755335338</v>
      </c>
      <c r="AD38" s="614">
        <f t="shared" si="8"/>
        <v>174.01941977416897</v>
      </c>
      <c r="AE38" s="614">
        <f t="shared" si="8"/>
        <v>185.32834199498456</v>
      </c>
      <c r="AF38" s="614">
        <f t="shared" si="8"/>
        <v>196.63726421580014</v>
      </c>
      <c r="AG38" s="614">
        <f t="shared" si="8"/>
        <v>207.94618643661573</v>
      </c>
      <c r="AH38" s="614">
        <f t="shared" si="8"/>
        <v>219.25510865743132</v>
      </c>
      <c r="AI38" s="614">
        <f t="shared" si="8"/>
        <v>230.56403087824691</v>
      </c>
      <c r="AJ38" s="614">
        <f t="shared" si="8"/>
        <v>241.8729530990625</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20.399999999999999" customHeight="1" x14ac:dyDescent="0.3">
      <c r="A39" s="83"/>
      <c r="B39" s="607" t="s">
        <v>448</v>
      </c>
      <c r="C39" s="563">
        <f>+C38</f>
        <v>0</v>
      </c>
      <c r="D39" s="660">
        <f>D37+C39</f>
        <v>-28.18657383774266</v>
      </c>
      <c r="E39" s="660">
        <f>E37+D39</f>
        <v>-53.810731872054163</v>
      </c>
      <c r="F39" s="660">
        <f>F37+E39</f>
        <v>-77.105420994155537</v>
      </c>
      <c r="G39" s="659">
        <f>G37+F39</f>
        <v>-72.372204437935707</v>
      </c>
      <c r="H39" s="660">
        <f t="shared" ref="H39:AT39" si="9">IF(H24&lt;=$D$16,H37+G39,0)</f>
        <v>-65.350253490213817</v>
      </c>
      <c r="I39" s="660">
        <f t="shared" si="9"/>
        <v>-58.966661719557564</v>
      </c>
      <c r="J39" s="660">
        <f t="shared" si="9"/>
        <v>-53.163396473506424</v>
      </c>
      <c r="K39" s="660">
        <f t="shared" si="9"/>
        <v>-47.887700795278114</v>
      </c>
      <c r="L39" s="660">
        <f t="shared" si="9"/>
        <v>-43.091613815070559</v>
      </c>
      <c r="M39" s="660">
        <f t="shared" si="9"/>
        <v>-38.731534742154601</v>
      </c>
      <c r="N39" s="660">
        <f t="shared" si="9"/>
        <v>-34.767826494049181</v>
      </c>
      <c r="O39" s="660">
        <f t="shared" si="9"/>
        <v>-31.164455359407896</v>
      </c>
      <c r="P39" s="660">
        <f t="shared" si="9"/>
        <v>-27.888663418824908</v>
      </c>
      <c r="Q39" s="660">
        <f t="shared" si="9"/>
        <v>-24.910670745567646</v>
      </c>
      <c r="R39" s="660">
        <f t="shared" si="9"/>
        <v>-22.203404678970138</v>
      </c>
      <c r="S39" s="660">
        <f t="shared" si="9"/>
        <v>-19.742253709336037</v>
      </c>
      <c r="T39" s="660">
        <f t="shared" si="9"/>
        <v>-17.5048437369414</v>
      </c>
      <c r="U39" s="660">
        <f t="shared" si="9"/>
        <v>-15.470834671128094</v>
      </c>
      <c r="V39" s="660">
        <f t="shared" si="9"/>
        <v>-13.621735520388725</v>
      </c>
      <c r="W39" s="660">
        <f t="shared" si="9"/>
        <v>-11.940736292443844</v>
      </c>
      <c r="X39" s="660">
        <f t="shared" si="9"/>
        <v>-10.412555176130317</v>
      </c>
      <c r="Y39" s="660">
        <f t="shared" si="9"/>
        <v>-9.0232996158452927</v>
      </c>
      <c r="Z39" s="660">
        <f t="shared" si="9"/>
        <v>-7.7603400155861797</v>
      </c>
      <c r="AA39" s="660">
        <f t="shared" si="9"/>
        <v>-6.612194924441531</v>
      </c>
      <c r="AB39" s="660">
        <f t="shared" si="9"/>
        <v>-5.5684266597645777</v>
      </c>
      <c r="AC39" s="660">
        <f t="shared" si="9"/>
        <v>-4.6195464191491658</v>
      </c>
      <c r="AD39" s="660">
        <f t="shared" si="9"/>
        <v>-3.7569280185897007</v>
      </c>
      <c r="AE39" s="660">
        <f t="shared" si="9"/>
        <v>-2.9727294726265505</v>
      </c>
      <c r="AF39" s="660">
        <f t="shared" si="9"/>
        <v>-2.2598217035691412</v>
      </c>
      <c r="AG39" s="660">
        <f t="shared" si="9"/>
        <v>-1.6117237316987694</v>
      </c>
      <c r="AH39" s="660">
        <f t="shared" si="9"/>
        <v>-1.0225437572711586</v>
      </c>
      <c r="AI39" s="660">
        <f t="shared" si="9"/>
        <v>-0.48692559870060348</v>
      </c>
      <c r="AJ39" s="660">
        <f t="shared" si="9"/>
        <v>-9.8809849191638932E-14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ht="20.399999999999999" customHeight="1"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ht="20.399999999999999" customHeight="1" x14ac:dyDescent="0.3">
      <c r="A41" s="83"/>
      <c r="B41" s="1269" t="s">
        <v>1091</v>
      </c>
      <c r="C41" s="1269"/>
      <c r="D41" s="1269"/>
      <c r="E41" s="1269"/>
      <c r="F41" s="1269"/>
      <c r="G41" s="1269"/>
      <c r="H41" s="1269"/>
      <c r="I41" s="1269"/>
      <c r="J41" s="1269"/>
      <c r="K41" s="1269"/>
      <c r="M41" s="1011" t="s">
        <v>578</v>
      </c>
      <c r="N41" s="1021" t="s">
        <v>579</v>
      </c>
      <c r="P41" s="1252" t="str">
        <f>"Sensitivity Results: "&amp;H14</f>
        <v xml:space="preserve">Sensitivity Results: GSR-H₂ </v>
      </c>
      <c r="Q41" s="1253"/>
      <c r="R41" s="1253"/>
      <c r="S41" s="1254"/>
      <c r="T41" s="1028"/>
      <c r="U41" s="1028"/>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1016" t="s">
        <v>1092</v>
      </c>
      <c r="C42" s="1016" t="s">
        <v>1101</v>
      </c>
      <c r="D42" s="1017" t="s">
        <v>1093</v>
      </c>
      <c r="E42" s="1017" t="s">
        <v>1100</v>
      </c>
      <c r="F42" s="1018" t="s">
        <v>1094</v>
      </c>
      <c r="G42" s="1018" t="s">
        <v>1095</v>
      </c>
      <c r="H42" s="1019" t="s">
        <v>1096</v>
      </c>
      <c r="I42" s="1019" t="s">
        <v>1097</v>
      </c>
      <c r="J42" s="876" t="s">
        <v>1104</v>
      </c>
      <c r="K42" s="1025" t="s">
        <v>1105</v>
      </c>
      <c r="M42" s="93"/>
      <c r="N42" s="84"/>
      <c r="P42" s="1270" t="str">
        <f>+D43</f>
        <v>NG price</v>
      </c>
      <c r="Q42" s="1271"/>
      <c r="R42" s="1270" t="str">
        <f>+D44</f>
        <v>Electricity</v>
      </c>
      <c r="S42" s="1271"/>
      <c r="T42" s="1267"/>
      <c r="U42" s="1268"/>
      <c r="V42" s="83"/>
      <c r="W42" s="83"/>
      <c r="X42" s="83"/>
      <c r="Y42" s="83"/>
      <c r="Z42" s="83"/>
      <c r="AA42" s="83"/>
      <c r="AB42" s="83"/>
      <c r="AC42" s="83"/>
      <c r="AD42" s="83"/>
      <c r="AE42" s="83"/>
      <c r="AF42" s="83"/>
      <c r="AG42" s="83"/>
      <c r="AH42" s="83"/>
      <c r="AI42" s="83"/>
      <c r="AJ42" s="83"/>
      <c r="AK42" s="83"/>
    </row>
    <row r="43" spans="1:46" ht="20.399999999999999" customHeight="1" x14ac:dyDescent="0.3">
      <c r="A43" s="83"/>
      <c r="B43" s="1020" t="s">
        <v>663</v>
      </c>
      <c r="C43" s="1032" t="s">
        <v>1102</v>
      </c>
      <c r="D43" s="1026" t="s">
        <v>1099</v>
      </c>
      <c r="E43" s="1023" t="s">
        <v>1103</v>
      </c>
      <c r="F43" s="1024">
        <f>+I6</f>
        <v>1.6767696458905514</v>
      </c>
      <c r="G43" s="1026">
        <v>6.5</v>
      </c>
      <c r="H43" s="1026">
        <v>6.5</v>
      </c>
      <c r="I43" s="1026">
        <v>1.5</v>
      </c>
      <c r="J43" s="1026">
        <v>5</v>
      </c>
      <c r="K43" s="1031">
        <v>3.5</v>
      </c>
      <c r="M43" s="1022"/>
      <c r="N43" s="84"/>
      <c r="P43" s="277" t="str">
        <f>+Table63[[#Headers],[Man. Var.]]</f>
        <v>Man. Var.</v>
      </c>
      <c r="Q43" s="277" t="str">
        <f>+Table63[[#Headers],[Ind. Var]]</f>
        <v>Ind. Var</v>
      </c>
      <c r="R43" s="277" t="str">
        <f>+P43</f>
        <v>Man. Var.</v>
      </c>
      <c r="S43" s="277" t="str">
        <f>+Q43</f>
        <v>Ind. Var</v>
      </c>
      <c r="T43" s="1029"/>
      <c r="U43" s="1029"/>
      <c r="V43" s="83"/>
      <c r="W43" s="83"/>
      <c r="X43" s="83"/>
      <c r="Y43" s="83"/>
      <c r="Z43" s="83"/>
      <c r="AA43" s="83"/>
      <c r="AB43" s="83"/>
      <c r="AC43" s="83"/>
      <c r="AD43" s="83"/>
      <c r="AE43" s="83"/>
      <c r="AF43" s="83"/>
      <c r="AG43" s="83"/>
      <c r="AH43" s="83"/>
      <c r="AI43" s="83"/>
      <c r="AJ43" s="83"/>
      <c r="AK43" s="83"/>
    </row>
    <row r="44" spans="1:46" ht="20.399999999999999" customHeight="1" x14ac:dyDescent="0.3">
      <c r="A44" s="83"/>
      <c r="B44" s="1020" t="s">
        <v>663</v>
      </c>
      <c r="C44" s="1032" t="s">
        <v>1102</v>
      </c>
      <c r="D44" s="1026" t="s">
        <v>890</v>
      </c>
      <c r="E44" s="1023" t="s">
        <v>1106</v>
      </c>
      <c r="F44" s="1024">
        <f>+I6</f>
        <v>1.6767696458905514</v>
      </c>
      <c r="G44" s="1026">
        <v>60</v>
      </c>
      <c r="H44" s="1026">
        <v>60</v>
      </c>
      <c r="I44" s="1026">
        <v>20</v>
      </c>
      <c r="J44" s="1026">
        <v>5</v>
      </c>
      <c r="K44" s="1031">
        <v>20</v>
      </c>
      <c r="M44" s="1116" t="s">
        <v>1098</v>
      </c>
      <c r="N44" s="1117"/>
      <c r="P44" s="365">
        <v>3.5</v>
      </c>
      <c r="Q44" s="1030">
        <v>1.2712310900167054</v>
      </c>
      <c r="R44" s="1035">
        <v>20</v>
      </c>
      <c r="S44" s="1030">
        <v>1.6184762468162333</v>
      </c>
      <c r="T44" s="1036"/>
      <c r="U44" s="1036"/>
      <c r="V44" s="1037"/>
      <c r="W44" s="1037"/>
      <c r="X44" s="243"/>
      <c r="Y44" s="243"/>
      <c r="Z44" s="243"/>
      <c r="AA44" s="243"/>
      <c r="AB44" s="243"/>
      <c r="AC44" s="243"/>
      <c r="AD44" s="243"/>
      <c r="AE44" s="243"/>
      <c r="AF44" s="243"/>
      <c r="AG44" s="243"/>
      <c r="AH44" s="243"/>
      <c r="AI44" s="243"/>
      <c r="AJ44" s="243"/>
      <c r="AK44" s="243"/>
      <c r="AL44" s="243"/>
      <c r="AM44" s="83"/>
    </row>
    <row r="45" spans="1:46" ht="20.399999999999999" customHeight="1" x14ac:dyDescent="0.3">
      <c r="A45" s="83"/>
      <c r="B45" s="83"/>
      <c r="C45" s="1012"/>
      <c r="D45" s="1012"/>
      <c r="E45" s="83"/>
      <c r="F45" s="83"/>
      <c r="M45" s="91"/>
      <c r="N45" s="84"/>
      <c r="P45" s="360">
        <v>5</v>
      </c>
      <c r="Q45" s="361">
        <v>1.4740003679536282</v>
      </c>
      <c r="R45" s="1034">
        <v>40</v>
      </c>
      <c r="S45" s="361">
        <v>1.6476229463533925</v>
      </c>
      <c r="T45" s="1036"/>
      <c r="U45" s="1036"/>
      <c r="V45" s="1037"/>
      <c r="W45" s="1037"/>
      <c r="X45" s="243"/>
      <c r="Y45" s="243"/>
      <c r="Z45" s="243"/>
      <c r="AA45" s="243"/>
      <c r="AB45" s="243"/>
      <c r="AC45" s="243"/>
      <c r="AD45" s="243"/>
      <c r="AE45" s="243"/>
      <c r="AF45" s="243"/>
      <c r="AG45" s="243"/>
      <c r="AH45" s="243"/>
      <c r="AI45" s="243"/>
      <c r="AJ45" s="243"/>
      <c r="AK45" s="243"/>
      <c r="AL45" s="243"/>
      <c r="AM45" s="83"/>
    </row>
    <row r="46" spans="1:46" ht="20.399999999999999" customHeight="1" x14ac:dyDescent="0.3">
      <c r="A46" s="83"/>
      <c r="B46" s="83"/>
      <c r="C46" s="1013"/>
      <c r="D46" s="1013"/>
      <c r="E46" s="1013"/>
      <c r="F46" s="1014"/>
      <c r="I46" s="83"/>
      <c r="J46" s="83"/>
      <c r="M46" s="1015"/>
      <c r="N46" s="115"/>
      <c r="P46" s="360">
        <v>6.5</v>
      </c>
      <c r="Q46" s="361">
        <v>1.6767696458905521</v>
      </c>
      <c r="R46" s="1034">
        <v>60</v>
      </c>
      <c r="S46" s="361">
        <v>1.6767696458905517</v>
      </c>
      <c r="T46" s="1036"/>
      <c r="U46" s="1036"/>
      <c r="V46" s="1037"/>
      <c r="W46" s="1037"/>
      <c r="X46" s="243"/>
      <c r="Y46" s="243"/>
      <c r="Z46" s="243"/>
      <c r="AA46" s="243"/>
      <c r="AB46" s="243"/>
      <c r="AC46" s="243"/>
      <c r="AD46" s="243"/>
      <c r="AE46" s="243"/>
      <c r="AF46" s="243"/>
      <c r="AG46" s="243"/>
      <c r="AH46" s="243"/>
      <c r="AI46" s="243"/>
      <c r="AJ46" s="243"/>
      <c r="AK46" s="243"/>
      <c r="AL46" s="1038"/>
    </row>
    <row r="47" spans="1:46" ht="20.399999999999999" customHeight="1" x14ac:dyDescent="0.3">
      <c r="A47" s="83"/>
      <c r="B47" s="83"/>
      <c r="C47" s="1013"/>
      <c r="D47" s="1013"/>
      <c r="E47" s="1013"/>
      <c r="F47" s="1014"/>
      <c r="I47" s="83"/>
      <c r="J47" s="83"/>
      <c r="K47" s="83"/>
      <c r="L47" s="83"/>
      <c r="M47" s="83"/>
      <c r="N47" s="83"/>
      <c r="O47" s="83"/>
      <c r="P47" s="360">
        <v>8</v>
      </c>
      <c r="Q47" s="361">
        <v>1.8795389238274758</v>
      </c>
      <c r="R47" s="1034">
        <v>80</v>
      </c>
      <c r="S47" s="361">
        <v>1.7059163454277118</v>
      </c>
      <c r="T47" s="1036"/>
      <c r="U47" s="1036"/>
      <c r="V47" s="1037"/>
      <c r="W47" s="1037"/>
      <c r="X47" s="243"/>
      <c r="Y47" s="243"/>
      <c r="Z47" s="243"/>
      <c r="AA47" s="243"/>
      <c r="AB47" s="243"/>
      <c r="AC47" s="243"/>
      <c r="AD47" s="243"/>
      <c r="AE47" s="243"/>
      <c r="AF47" s="243"/>
      <c r="AG47" s="243"/>
      <c r="AH47" s="243"/>
      <c r="AI47" s="243"/>
      <c r="AJ47" s="243"/>
      <c r="AK47" s="243"/>
      <c r="AL47" s="1038"/>
    </row>
    <row r="48" spans="1:46" ht="20.399999999999999" customHeight="1" x14ac:dyDescent="0.3">
      <c r="A48" s="83"/>
      <c r="B48" s="105"/>
      <c r="C48" s="283"/>
      <c r="D48" s="283"/>
      <c r="E48" s="283"/>
      <c r="F48" s="282"/>
      <c r="G48" s="105"/>
      <c r="H48" s="83"/>
      <c r="I48" s="83"/>
      <c r="J48" s="83"/>
      <c r="K48" s="83"/>
      <c r="L48" s="83"/>
      <c r="M48" s="83"/>
      <c r="N48" s="83"/>
      <c r="O48" s="83"/>
      <c r="P48" s="362">
        <v>9.5</v>
      </c>
      <c r="Q48" s="363">
        <v>2.0823082017643983</v>
      </c>
      <c r="R48" s="335">
        <v>100</v>
      </c>
      <c r="S48" s="363">
        <v>1.7350630449648703</v>
      </c>
      <c r="T48" s="1036"/>
      <c r="U48" s="1036"/>
      <c r="V48" s="1037"/>
      <c r="W48" s="1037"/>
      <c r="X48" s="243"/>
      <c r="Y48" s="243"/>
      <c r="Z48" s="243"/>
      <c r="AA48" s="243"/>
      <c r="AB48" s="243"/>
      <c r="AC48" s="243"/>
      <c r="AD48" s="243"/>
      <c r="AE48" s="243"/>
      <c r="AF48" s="243"/>
      <c r="AG48" s="243"/>
      <c r="AH48" s="243"/>
      <c r="AI48" s="243"/>
      <c r="AJ48" s="243"/>
      <c r="AK48" s="243"/>
      <c r="AL48" s="1038"/>
    </row>
    <row r="49" spans="1:38" ht="20.399999999999999" customHeight="1" x14ac:dyDescent="0.3">
      <c r="A49" s="83"/>
      <c r="B49" s="105"/>
      <c r="C49" s="283"/>
      <c r="D49" s="283"/>
      <c r="E49" s="283"/>
      <c r="F49" s="282"/>
      <c r="G49" s="105"/>
      <c r="H49" s="83"/>
      <c r="I49" s="83"/>
      <c r="J49" s="83"/>
      <c r="K49" s="83"/>
      <c r="L49" s="83"/>
      <c r="M49" s="83"/>
      <c r="N49" s="83"/>
      <c r="O49" s="83"/>
      <c r="P49" s="1034"/>
      <c r="Q49" s="1034"/>
      <c r="R49" s="1034"/>
      <c r="S49" s="1034"/>
      <c r="T49" s="1036"/>
      <c r="U49" s="1036"/>
      <c r="V49" s="1037"/>
      <c r="W49" s="1037"/>
      <c r="X49" s="243"/>
      <c r="Y49" s="243"/>
      <c r="Z49" s="243"/>
      <c r="AA49" s="243"/>
      <c r="AB49" s="243"/>
      <c r="AC49" s="243"/>
      <c r="AD49" s="243"/>
      <c r="AE49" s="243"/>
      <c r="AF49" s="243"/>
      <c r="AG49" s="243"/>
      <c r="AH49" s="243"/>
      <c r="AI49" s="243"/>
      <c r="AJ49" s="243"/>
      <c r="AK49" s="243"/>
      <c r="AL49" s="1038"/>
    </row>
    <row r="50" spans="1:38" ht="20.399999999999999" customHeight="1" x14ac:dyDescent="0.3">
      <c r="A50" s="83"/>
      <c r="B50" s="105"/>
      <c r="C50" s="283"/>
      <c r="D50" s="284"/>
      <c r="E50" s="283"/>
      <c r="F50" s="282"/>
      <c r="G50" s="105"/>
      <c r="H50" s="83"/>
      <c r="I50" s="83"/>
      <c r="J50" s="83"/>
      <c r="K50" s="83"/>
      <c r="L50" s="83"/>
      <c r="M50" s="83"/>
      <c r="N50" s="83"/>
      <c r="O50" s="83"/>
      <c r="P50" s="1034"/>
      <c r="Q50" s="1034"/>
      <c r="R50" s="1034"/>
      <c r="S50" s="1034"/>
      <c r="T50" s="1036"/>
      <c r="U50" s="1036"/>
      <c r="V50" s="1037"/>
      <c r="W50" s="1037"/>
      <c r="X50" s="243"/>
      <c r="Y50" s="243"/>
      <c r="Z50" s="243"/>
      <c r="AA50" s="243"/>
      <c r="AB50" s="243"/>
      <c r="AC50" s="243"/>
      <c r="AD50" s="243"/>
      <c r="AE50" s="243"/>
      <c r="AF50" s="243"/>
      <c r="AG50" s="243"/>
      <c r="AH50" s="243"/>
      <c r="AI50" s="243"/>
      <c r="AJ50" s="243"/>
      <c r="AK50" s="243"/>
      <c r="AL50" s="1038"/>
    </row>
    <row r="51" spans="1:38" ht="20.399999999999999" customHeight="1" x14ac:dyDescent="0.3">
      <c r="A51" s="83"/>
      <c r="B51" s="105"/>
      <c r="C51" s="283"/>
      <c r="D51" s="284"/>
      <c r="E51" s="283"/>
      <c r="F51" s="282"/>
      <c r="G51" s="105"/>
      <c r="H51" s="83"/>
      <c r="I51" s="83"/>
      <c r="J51" s="83"/>
      <c r="K51" s="83"/>
      <c r="L51" s="83"/>
      <c r="M51" s="83"/>
      <c r="N51" s="83"/>
      <c r="O51" s="83"/>
      <c r="P51" s="1034"/>
      <c r="Q51" s="1034"/>
      <c r="R51" s="1034"/>
      <c r="S51" s="1034"/>
      <c r="T51" s="1036"/>
      <c r="U51" s="1036"/>
      <c r="V51" s="1037"/>
      <c r="W51" s="1037"/>
      <c r="X51" s="243"/>
      <c r="Y51" s="243"/>
      <c r="Z51" s="243"/>
      <c r="AA51" s="243"/>
      <c r="AB51" s="243"/>
      <c r="AC51" s="243"/>
      <c r="AD51" s="243"/>
      <c r="AE51" s="243"/>
      <c r="AF51" s="243"/>
      <c r="AG51" s="243"/>
      <c r="AH51" s="243"/>
      <c r="AI51" s="243"/>
      <c r="AJ51" s="243"/>
      <c r="AK51" s="243"/>
      <c r="AL51" s="1038"/>
    </row>
    <row r="52" spans="1:38" ht="20.399999999999999" customHeight="1" x14ac:dyDescent="0.3">
      <c r="A52" s="83"/>
      <c r="B52" s="105"/>
      <c r="C52" s="283"/>
      <c r="D52" s="284"/>
      <c r="E52" s="283"/>
      <c r="F52" s="282"/>
      <c r="G52" s="105"/>
      <c r="H52" s="83"/>
      <c r="I52" s="83"/>
      <c r="J52" s="83"/>
      <c r="K52" s="83"/>
      <c r="L52" s="83"/>
      <c r="M52" s="83"/>
      <c r="N52" s="83"/>
      <c r="O52" s="83"/>
      <c r="P52" s="1034"/>
      <c r="Q52" s="1034"/>
      <c r="R52" s="1034"/>
      <c r="S52" s="1034"/>
      <c r="T52" s="1037"/>
      <c r="U52" s="1037"/>
      <c r="V52" s="1037"/>
      <c r="W52" s="1037"/>
      <c r="X52" s="243"/>
      <c r="Y52" s="243"/>
      <c r="Z52" s="243"/>
      <c r="AA52" s="243"/>
      <c r="AB52" s="243"/>
      <c r="AC52" s="243"/>
      <c r="AD52" s="243"/>
      <c r="AE52" s="243"/>
      <c r="AF52" s="243"/>
      <c r="AG52" s="243"/>
      <c r="AH52" s="243"/>
      <c r="AI52" s="243"/>
      <c r="AJ52" s="243"/>
      <c r="AK52" s="243"/>
      <c r="AL52" s="1038"/>
    </row>
    <row r="53" spans="1:38" ht="20.399999999999999" customHeight="1" x14ac:dyDescent="0.3">
      <c r="A53" s="83"/>
      <c r="B53" s="105"/>
      <c r="C53" s="283"/>
      <c r="D53" s="283"/>
      <c r="E53" s="283"/>
      <c r="F53" s="105"/>
      <c r="G53" s="282"/>
      <c r="H53" s="83"/>
      <c r="I53" s="83"/>
      <c r="J53" s="83"/>
      <c r="K53" s="83"/>
      <c r="L53" s="83"/>
      <c r="M53" s="83"/>
      <c r="N53" s="83"/>
      <c r="O53" s="83"/>
      <c r="P53" s="1034"/>
      <c r="Q53" s="1034"/>
      <c r="R53" s="1034"/>
      <c r="S53" s="1034"/>
      <c r="T53" s="1037"/>
      <c r="U53" s="1037"/>
      <c r="V53" s="1037"/>
      <c r="W53" s="1037"/>
      <c r="X53" s="243"/>
      <c r="Y53" s="243"/>
      <c r="Z53" s="243"/>
      <c r="AA53" s="243"/>
      <c r="AB53" s="243"/>
      <c r="AC53" s="243"/>
      <c r="AD53" s="243"/>
      <c r="AE53" s="243"/>
      <c r="AF53" s="243"/>
      <c r="AG53" s="243"/>
      <c r="AH53" s="243"/>
      <c r="AI53" s="243"/>
      <c r="AJ53" s="243"/>
      <c r="AK53" s="243"/>
      <c r="AL53" s="1038"/>
    </row>
    <row r="54" spans="1:38" ht="20.399999999999999" customHeight="1" x14ac:dyDescent="0.3">
      <c r="A54" s="83"/>
      <c r="B54" s="105"/>
      <c r="C54" s="283"/>
      <c r="D54" s="283"/>
      <c r="E54" s="283"/>
      <c r="F54" s="283"/>
      <c r="G54" s="105"/>
      <c r="H54" s="83"/>
      <c r="I54" s="83"/>
      <c r="J54" s="83"/>
      <c r="K54" s="83"/>
      <c r="L54" s="83"/>
      <c r="M54" s="83"/>
      <c r="N54" s="83"/>
      <c r="O54" s="83"/>
      <c r="P54" s="1034"/>
      <c r="Q54" s="1034"/>
      <c r="R54" s="1034"/>
      <c r="S54" s="1034"/>
      <c r="T54" s="1037"/>
      <c r="U54" s="1037"/>
      <c r="V54" s="1037"/>
      <c r="W54" s="1037"/>
      <c r="X54" s="243"/>
      <c r="Y54" s="243"/>
      <c r="Z54" s="243"/>
      <c r="AA54" s="243"/>
      <c r="AB54" s="243"/>
      <c r="AC54" s="243"/>
      <c r="AD54" s="243"/>
      <c r="AE54" s="243"/>
      <c r="AF54" s="243"/>
      <c r="AG54" s="243"/>
      <c r="AH54" s="243"/>
      <c r="AI54" s="243"/>
      <c r="AJ54" s="243"/>
      <c r="AK54" s="243"/>
      <c r="AL54" s="1038"/>
    </row>
    <row r="55" spans="1:38" ht="20.399999999999999" customHeight="1" x14ac:dyDescent="0.3">
      <c r="A55" s="83"/>
      <c r="B55" s="105"/>
      <c r="C55" s="283"/>
      <c r="D55" s="283"/>
      <c r="E55" s="283"/>
      <c r="F55" s="283"/>
      <c r="G55" s="105"/>
      <c r="H55" s="83"/>
      <c r="I55" s="83"/>
      <c r="J55" s="83"/>
      <c r="K55" s="83"/>
      <c r="L55" s="83"/>
      <c r="M55" s="83"/>
      <c r="N55" s="83"/>
      <c r="O55" s="83"/>
      <c r="P55" s="243"/>
      <c r="Q55" s="243"/>
      <c r="R55" s="243"/>
      <c r="S55" s="243"/>
      <c r="T55" s="1037"/>
      <c r="U55" s="1037"/>
      <c r="V55" s="1037"/>
      <c r="W55" s="1037"/>
      <c r="X55" s="243"/>
      <c r="Y55" s="243"/>
      <c r="Z55" s="243"/>
      <c r="AA55" s="243"/>
      <c r="AB55" s="243"/>
      <c r="AC55" s="243"/>
      <c r="AD55" s="243"/>
      <c r="AE55" s="243"/>
      <c r="AF55" s="243"/>
      <c r="AG55" s="243"/>
      <c r="AH55" s="243"/>
      <c r="AI55" s="243"/>
      <c r="AJ55" s="243"/>
      <c r="AK55" s="243"/>
      <c r="AL55" s="1038"/>
    </row>
    <row r="56" spans="1:38" ht="20.399999999999999" customHeight="1" x14ac:dyDescent="0.3">
      <c r="A56" s="83"/>
      <c r="B56" s="105"/>
      <c r="C56" s="283"/>
      <c r="D56" s="283"/>
      <c r="E56" s="283"/>
      <c r="F56" s="283"/>
      <c r="G56" s="105"/>
      <c r="H56" s="83"/>
      <c r="I56" s="83"/>
      <c r="J56" s="83"/>
      <c r="K56" s="83"/>
      <c r="L56" s="83"/>
      <c r="M56" s="83"/>
      <c r="N56" s="83"/>
      <c r="O56" s="83"/>
      <c r="P56" s="243"/>
      <c r="Q56" s="243"/>
      <c r="R56" s="243"/>
      <c r="S56" s="243"/>
      <c r="T56" s="1037"/>
      <c r="U56" s="1037"/>
      <c r="V56" s="1037"/>
      <c r="W56" s="1037"/>
      <c r="X56" s="243"/>
      <c r="Y56" s="243"/>
      <c r="Z56" s="243"/>
      <c r="AA56" s="243"/>
      <c r="AB56" s="243"/>
      <c r="AC56" s="243"/>
      <c r="AD56" s="243"/>
      <c r="AE56" s="243"/>
      <c r="AF56" s="243"/>
      <c r="AG56" s="243"/>
      <c r="AH56" s="243"/>
      <c r="AI56" s="243"/>
      <c r="AJ56" s="243"/>
      <c r="AK56" s="243"/>
      <c r="AL56" s="1038"/>
    </row>
    <row r="57" spans="1:38" ht="20.399999999999999" customHeight="1" x14ac:dyDescent="0.3">
      <c r="A57" s="83"/>
      <c r="B57" s="105"/>
      <c r="C57" s="281"/>
      <c r="D57" s="281"/>
      <c r="E57" s="281"/>
      <c r="F57" s="105"/>
      <c r="G57" s="105"/>
      <c r="H57" s="83"/>
      <c r="I57" s="83"/>
      <c r="J57" s="83"/>
      <c r="K57" s="83"/>
      <c r="L57" s="83"/>
      <c r="M57" s="83"/>
      <c r="N57" s="83"/>
      <c r="O57" s="83"/>
      <c r="P57" s="243"/>
      <c r="Q57" s="1038"/>
      <c r="R57" s="1038"/>
      <c r="S57" s="243"/>
      <c r="T57" s="1037"/>
      <c r="U57" s="1037"/>
      <c r="V57" s="1037"/>
      <c r="W57" s="1037"/>
      <c r="X57" s="243"/>
      <c r="Y57" s="243"/>
      <c r="Z57" s="243"/>
      <c r="AA57" s="243"/>
      <c r="AB57" s="243"/>
      <c r="AC57" s="243"/>
      <c r="AD57" s="243"/>
      <c r="AE57" s="243"/>
      <c r="AF57" s="243"/>
      <c r="AG57" s="243"/>
      <c r="AH57" s="243"/>
      <c r="AI57" s="243"/>
      <c r="AJ57" s="243"/>
      <c r="AK57" s="243"/>
      <c r="AL57" s="1038"/>
    </row>
    <row r="58" spans="1:38" ht="20.399999999999999" customHeight="1" x14ac:dyDescent="0.3">
      <c r="A58" s="83"/>
      <c r="B58" s="105"/>
      <c r="C58" s="283"/>
      <c r="D58" s="283"/>
      <c r="E58" s="283"/>
      <c r="F58" s="105"/>
      <c r="G58" s="105"/>
      <c r="H58" s="83"/>
      <c r="I58" s="83"/>
      <c r="J58" s="83"/>
      <c r="K58" s="83"/>
      <c r="L58" s="83"/>
      <c r="M58" s="83"/>
      <c r="N58" s="83"/>
      <c r="O58" s="83"/>
      <c r="P58" s="243"/>
      <c r="Q58" s="1038"/>
      <c r="R58" s="1038"/>
      <c r="S58" s="243"/>
      <c r="T58" s="1037"/>
      <c r="U58" s="1037"/>
      <c r="V58" s="1037"/>
      <c r="W58" s="1037"/>
      <c r="X58" s="243"/>
      <c r="Y58" s="243"/>
      <c r="Z58" s="243"/>
      <c r="AA58" s="243"/>
      <c r="AB58" s="243"/>
      <c r="AC58" s="243"/>
      <c r="AD58" s="243"/>
      <c r="AE58" s="243"/>
      <c r="AF58" s="243"/>
      <c r="AG58" s="243"/>
      <c r="AH58" s="243"/>
      <c r="AI58" s="243"/>
      <c r="AJ58" s="243"/>
      <c r="AK58" s="243"/>
      <c r="AL58" s="1038"/>
    </row>
    <row r="59" spans="1:38" ht="20.399999999999999" customHeight="1" x14ac:dyDescent="0.3">
      <c r="A59" s="83"/>
      <c r="B59" s="105"/>
      <c r="C59" s="283"/>
      <c r="D59" s="283"/>
      <c r="E59" s="283"/>
      <c r="F59" s="105"/>
      <c r="G59" s="105"/>
      <c r="H59" s="83"/>
      <c r="I59" s="83"/>
      <c r="J59" s="83"/>
      <c r="K59" s="83"/>
      <c r="L59" s="83"/>
      <c r="M59" s="83"/>
      <c r="N59" s="83"/>
      <c r="O59" s="83"/>
      <c r="P59" s="243"/>
      <c r="Q59" s="1038"/>
      <c r="R59" s="1038"/>
      <c r="S59" s="243"/>
      <c r="T59" s="1037"/>
      <c r="U59" s="1037"/>
      <c r="V59" s="1037"/>
      <c r="W59" s="1037"/>
      <c r="X59" s="243"/>
      <c r="Y59" s="243"/>
      <c r="Z59" s="243"/>
      <c r="AA59" s="243"/>
      <c r="AB59" s="243"/>
      <c r="AC59" s="243"/>
      <c r="AD59" s="243"/>
      <c r="AE59" s="243"/>
      <c r="AF59" s="243"/>
      <c r="AG59" s="243"/>
      <c r="AH59" s="243"/>
      <c r="AI59" s="243"/>
      <c r="AJ59" s="243"/>
      <c r="AK59" s="243"/>
      <c r="AL59" s="1038"/>
    </row>
    <row r="60" spans="1:38" ht="20.399999999999999" customHeight="1" x14ac:dyDescent="0.3">
      <c r="A60" s="83"/>
      <c r="B60" s="105"/>
      <c r="C60" s="283"/>
      <c r="D60" s="283"/>
      <c r="E60" s="283"/>
      <c r="F60" s="105"/>
      <c r="G60" s="105"/>
      <c r="H60" s="83"/>
      <c r="I60" s="83"/>
      <c r="J60" s="83"/>
      <c r="K60" s="83"/>
      <c r="L60" s="83"/>
      <c r="M60" s="83"/>
      <c r="N60" s="83"/>
      <c r="O60" s="83"/>
      <c r="P60" s="243"/>
      <c r="Q60" s="1038"/>
      <c r="R60" s="1038"/>
      <c r="S60" s="243"/>
      <c r="T60" s="1037"/>
      <c r="U60" s="1037"/>
      <c r="V60" s="1037"/>
      <c r="W60" s="1037"/>
      <c r="X60" s="243"/>
      <c r="Y60" s="243"/>
      <c r="Z60" s="243"/>
      <c r="AA60" s="243"/>
      <c r="AB60" s="243"/>
      <c r="AC60" s="243"/>
      <c r="AD60" s="243"/>
      <c r="AE60" s="243"/>
      <c r="AF60" s="243"/>
      <c r="AG60" s="243"/>
      <c r="AH60" s="243"/>
      <c r="AI60" s="243"/>
      <c r="AJ60" s="243"/>
      <c r="AK60" s="243"/>
      <c r="AL60" s="1038"/>
    </row>
    <row r="61" spans="1:38" ht="20.399999999999999" customHeight="1" x14ac:dyDescent="0.3">
      <c r="A61" s="83"/>
      <c r="B61" s="105"/>
      <c r="C61" s="281"/>
      <c r="D61" s="281"/>
      <c r="E61" s="281"/>
      <c r="F61" s="105"/>
      <c r="G61" s="105"/>
      <c r="H61" s="83"/>
      <c r="I61" s="83"/>
      <c r="J61" s="83"/>
      <c r="K61" s="83"/>
      <c r="L61" s="83"/>
      <c r="M61" s="83"/>
      <c r="N61" s="83"/>
      <c r="O61" s="83"/>
      <c r="P61" s="243"/>
      <c r="Q61" s="1038"/>
      <c r="R61" s="1038"/>
      <c r="S61" s="243"/>
      <c r="T61" s="1037"/>
      <c r="U61" s="1037"/>
      <c r="V61" s="1037"/>
      <c r="W61" s="1037"/>
      <c r="X61" s="243"/>
      <c r="Y61" s="243"/>
      <c r="Z61" s="243"/>
      <c r="AA61" s="243"/>
      <c r="AB61" s="243"/>
      <c r="AC61" s="243"/>
      <c r="AD61" s="243"/>
      <c r="AE61" s="243"/>
      <c r="AF61" s="243"/>
      <c r="AG61" s="243"/>
      <c r="AH61" s="243"/>
      <c r="AI61" s="243"/>
      <c r="AJ61" s="243"/>
      <c r="AK61" s="243"/>
      <c r="AL61" s="1038"/>
    </row>
    <row r="62" spans="1:38" ht="20.399999999999999" customHeight="1" x14ac:dyDescent="0.3">
      <c r="A62" s="83"/>
      <c r="B62" s="105"/>
      <c r="C62" s="283"/>
      <c r="D62" s="283"/>
      <c r="E62" s="283"/>
      <c r="F62" s="105"/>
      <c r="G62" s="105"/>
      <c r="H62" s="83"/>
      <c r="I62" s="83"/>
      <c r="J62" s="83"/>
      <c r="K62" s="83"/>
      <c r="L62" s="83"/>
      <c r="M62" s="83"/>
      <c r="N62" s="83"/>
      <c r="O62" s="83"/>
      <c r="P62" s="243"/>
      <c r="Q62" s="1038"/>
      <c r="R62" s="1038"/>
      <c r="S62" s="243"/>
      <c r="T62" s="1037"/>
      <c r="U62" s="1037"/>
      <c r="V62" s="1037"/>
      <c r="W62" s="1037"/>
      <c r="X62" s="243"/>
      <c r="Y62" s="243"/>
      <c r="Z62" s="243"/>
      <c r="AA62" s="243"/>
      <c r="AB62" s="243"/>
      <c r="AC62" s="243"/>
      <c r="AD62" s="243"/>
      <c r="AE62" s="243"/>
      <c r="AF62" s="243"/>
      <c r="AG62" s="243"/>
      <c r="AH62" s="243"/>
      <c r="AI62" s="243"/>
      <c r="AJ62" s="243"/>
      <c r="AK62" s="243"/>
      <c r="AL62" s="1038"/>
    </row>
    <row r="63" spans="1:38" ht="20.399999999999999" customHeight="1" x14ac:dyDescent="0.3">
      <c r="A63" s="83"/>
      <c r="B63" s="105"/>
      <c r="C63" s="105"/>
      <c r="D63" s="105"/>
      <c r="E63" s="105"/>
      <c r="F63" s="105"/>
      <c r="G63" s="105"/>
      <c r="H63" s="83"/>
      <c r="I63" s="83"/>
      <c r="J63" s="83"/>
      <c r="K63" s="83"/>
      <c r="L63" s="83"/>
      <c r="M63" s="83"/>
      <c r="N63" s="83"/>
      <c r="O63" s="83"/>
      <c r="P63" s="243"/>
      <c r="Q63" s="1038"/>
      <c r="R63" s="1038"/>
      <c r="S63" s="243"/>
      <c r="T63" s="1037"/>
      <c r="U63" s="1037"/>
      <c r="V63" s="1037"/>
      <c r="W63" s="1037"/>
      <c r="X63" s="243"/>
      <c r="Y63" s="243"/>
      <c r="Z63" s="243"/>
      <c r="AA63" s="243"/>
      <c r="AB63" s="243"/>
      <c r="AC63" s="243"/>
      <c r="AD63" s="243"/>
      <c r="AE63" s="243"/>
      <c r="AF63" s="243"/>
      <c r="AG63" s="243"/>
      <c r="AH63" s="243"/>
      <c r="AI63" s="243"/>
      <c r="AJ63" s="243"/>
      <c r="AK63" s="243"/>
      <c r="AL63" s="1038"/>
    </row>
    <row r="64" spans="1:38" ht="20.399999999999999" customHeight="1" x14ac:dyDescent="0.3">
      <c r="A64" s="83"/>
      <c r="B64" s="105"/>
      <c r="C64" s="105"/>
      <c r="D64" s="105"/>
      <c r="E64" s="105"/>
      <c r="F64" s="105"/>
      <c r="G64" s="105"/>
      <c r="H64" s="83"/>
      <c r="I64" s="83"/>
      <c r="J64" s="83"/>
      <c r="K64" s="83"/>
      <c r="L64" s="83"/>
      <c r="M64" s="83"/>
      <c r="N64" s="83"/>
      <c r="O64" s="83"/>
      <c r="P64" s="243"/>
      <c r="Q64" s="1038"/>
      <c r="R64" s="1038"/>
      <c r="S64" s="243"/>
      <c r="T64" s="1037"/>
      <c r="U64" s="1037"/>
      <c r="V64" s="1037"/>
      <c r="W64" s="1037"/>
      <c r="X64" s="243"/>
      <c r="Y64" s="243"/>
      <c r="Z64" s="243"/>
      <c r="AA64" s="243"/>
      <c r="AB64" s="243"/>
      <c r="AC64" s="243"/>
      <c r="AD64" s="243"/>
      <c r="AE64" s="243"/>
      <c r="AF64" s="243"/>
      <c r="AG64" s="243"/>
      <c r="AH64" s="243"/>
      <c r="AI64" s="243"/>
      <c r="AJ64" s="243"/>
      <c r="AK64" s="243"/>
      <c r="AL64" s="1038"/>
    </row>
    <row r="65" spans="1:38" ht="20.399999999999999" customHeight="1" x14ac:dyDescent="0.3">
      <c r="A65" s="83"/>
      <c r="B65" s="83"/>
      <c r="C65" s="83"/>
      <c r="D65" s="83"/>
      <c r="E65" s="83"/>
      <c r="F65" s="83"/>
      <c r="G65" s="83"/>
      <c r="H65" s="83"/>
      <c r="I65" s="83"/>
      <c r="J65" s="83"/>
      <c r="K65" s="83"/>
      <c r="L65" s="83"/>
      <c r="M65" s="83"/>
      <c r="N65" s="83"/>
      <c r="O65" s="83"/>
      <c r="P65" s="243"/>
      <c r="Q65" s="1038"/>
      <c r="R65" s="1038"/>
      <c r="S65" s="243"/>
      <c r="T65" s="1037"/>
      <c r="U65" s="1037"/>
      <c r="V65" s="1037"/>
      <c r="W65" s="1037"/>
      <c r="X65" s="243"/>
      <c r="Y65" s="243"/>
      <c r="Z65" s="243"/>
      <c r="AA65" s="243"/>
      <c r="AB65" s="243"/>
      <c r="AC65" s="243"/>
      <c r="AD65" s="243"/>
      <c r="AE65" s="243"/>
      <c r="AF65" s="243"/>
      <c r="AG65" s="243"/>
      <c r="AH65" s="243"/>
      <c r="AI65" s="243"/>
      <c r="AJ65" s="243"/>
      <c r="AK65" s="243"/>
      <c r="AL65" s="1038"/>
    </row>
    <row r="66" spans="1:38" ht="20.399999999999999" customHeight="1" x14ac:dyDescent="0.3">
      <c r="A66" s="83"/>
      <c r="B66" s="83"/>
      <c r="C66" s="83"/>
      <c r="D66" s="83"/>
      <c r="E66" s="83"/>
      <c r="F66" s="83"/>
      <c r="G66" s="83"/>
      <c r="H66" s="83"/>
      <c r="I66" s="83"/>
      <c r="J66" s="83"/>
      <c r="K66" s="83"/>
      <c r="L66" s="83"/>
      <c r="M66" s="83"/>
      <c r="N66" s="83"/>
      <c r="O66" s="83"/>
      <c r="P66" s="243"/>
      <c r="Q66" s="1038"/>
      <c r="R66" s="1038"/>
      <c r="S66" s="243"/>
      <c r="T66" s="1037"/>
      <c r="U66" s="1037"/>
      <c r="V66" s="1037"/>
      <c r="W66" s="1037"/>
      <c r="X66" s="243"/>
      <c r="Y66" s="243"/>
      <c r="Z66" s="243"/>
      <c r="AA66" s="243"/>
      <c r="AB66" s="243"/>
      <c r="AC66" s="243"/>
      <c r="AD66" s="243"/>
      <c r="AE66" s="243"/>
      <c r="AF66" s="243"/>
      <c r="AG66" s="243"/>
      <c r="AH66" s="243"/>
      <c r="AI66" s="243"/>
      <c r="AJ66" s="243"/>
      <c r="AK66" s="243"/>
      <c r="AL66" s="1038"/>
    </row>
    <row r="67" spans="1:38" ht="20.399999999999999" customHeight="1" x14ac:dyDescent="0.3">
      <c r="A67" s="83"/>
      <c r="B67" s="83"/>
      <c r="C67" s="83"/>
      <c r="D67" s="83"/>
      <c r="E67" s="83"/>
      <c r="F67" s="83"/>
      <c r="G67" s="83"/>
      <c r="H67" s="83"/>
      <c r="I67" s="83"/>
      <c r="J67" s="83"/>
      <c r="K67" s="83"/>
      <c r="L67" s="83"/>
      <c r="M67" s="83"/>
      <c r="N67" s="83"/>
      <c r="O67" s="83"/>
      <c r="P67" s="243"/>
      <c r="Q67" s="1038"/>
      <c r="R67" s="1038"/>
      <c r="S67" s="243"/>
      <c r="T67" s="1037"/>
      <c r="U67" s="1037"/>
      <c r="V67" s="1037"/>
      <c r="W67" s="1037"/>
      <c r="X67" s="243"/>
      <c r="Y67" s="243"/>
      <c r="Z67" s="243"/>
      <c r="AA67" s="243"/>
      <c r="AB67" s="243"/>
      <c r="AC67" s="243"/>
      <c r="AD67" s="243"/>
      <c r="AE67" s="243"/>
      <c r="AF67" s="243"/>
      <c r="AG67" s="243"/>
      <c r="AH67" s="243"/>
      <c r="AI67" s="243"/>
      <c r="AJ67" s="243"/>
      <c r="AK67" s="243"/>
      <c r="AL67" s="1038"/>
    </row>
    <row r="68" spans="1:38" ht="20.399999999999999" customHeight="1" x14ac:dyDescent="0.3">
      <c r="A68" s="83"/>
      <c r="B68" s="83"/>
      <c r="C68" s="83"/>
      <c r="D68" s="83"/>
      <c r="E68" s="83"/>
      <c r="F68" s="83"/>
      <c r="G68" s="83"/>
      <c r="H68" s="83"/>
      <c r="I68" s="83"/>
      <c r="J68" s="83"/>
      <c r="K68" s="83"/>
      <c r="L68" s="83"/>
      <c r="M68" s="83"/>
      <c r="N68" s="83"/>
      <c r="O68" s="83"/>
      <c r="P68" s="243"/>
      <c r="Q68" s="1038"/>
      <c r="R68" s="1038"/>
      <c r="S68" s="243"/>
      <c r="T68" s="1037"/>
      <c r="U68" s="1037"/>
      <c r="V68" s="1037"/>
      <c r="W68" s="1037"/>
      <c r="X68" s="243"/>
      <c r="Y68" s="243"/>
      <c r="Z68" s="243"/>
      <c r="AA68" s="243"/>
      <c r="AB68" s="243"/>
      <c r="AC68" s="243"/>
      <c r="AD68" s="243"/>
      <c r="AE68" s="243"/>
      <c r="AF68" s="243"/>
      <c r="AG68" s="243"/>
      <c r="AH68" s="243"/>
      <c r="AI68" s="243"/>
      <c r="AJ68" s="243"/>
      <c r="AK68" s="243"/>
      <c r="AL68" s="1038"/>
    </row>
    <row r="69" spans="1:38" ht="20.399999999999999" customHeight="1" x14ac:dyDescent="0.3">
      <c r="A69" s="83"/>
      <c r="B69" s="83"/>
      <c r="C69" s="83"/>
      <c r="D69" s="83"/>
      <c r="E69" s="83"/>
      <c r="F69" s="83"/>
      <c r="G69" s="83"/>
      <c r="H69" s="83"/>
      <c r="I69" s="83"/>
      <c r="J69" s="83"/>
      <c r="K69" s="83"/>
      <c r="L69" s="83"/>
      <c r="M69" s="83"/>
      <c r="N69" s="83"/>
      <c r="O69" s="83"/>
      <c r="P69" s="243"/>
      <c r="Q69" s="1038"/>
      <c r="R69" s="1038"/>
      <c r="S69" s="243"/>
      <c r="T69" s="1037"/>
      <c r="U69" s="1037"/>
      <c r="V69" s="1037"/>
      <c r="W69" s="1037"/>
      <c r="X69" s="243"/>
      <c r="Y69" s="243"/>
      <c r="Z69" s="243"/>
      <c r="AA69" s="243"/>
      <c r="AB69" s="243"/>
      <c r="AC69" s="243"/>
      <c r="AD69" s="243"/>
      <c r="AE69" s="243"/>
      <c r="AF69" s="243"/>
      <c r="AG69" s="243"/>
      <c r="AH69" s="243"/>
      <c r="AI69" s="243"/>
      <c r="AJ69" s="243"/>
      <c r="AK69" s="243"/>
      <c r="AL69" s="1038"/>
    </row>
    <row r="70" spans="1:38" ht="20.399999999999999" customHeight="1" x14ac:dyDescent="0.3">
      <c r="A70" s="83"/>
      <c r="B70" s="83"/>
      <c r="C70" s="83"/>
      <c r="D70" s="83"/>
      <c r="E70" s="83"/>
      <c r="F70" s="83"/>
      <c r="G70" s="83"/>
      <c r="H70" s="83"/>
      <c r="I70" s="83"/>
      <c r="J70" s="83"/>
      <c r="K70" s="83"/>
      <c r="L70" s="83"/>
      <c r="M70" s="83"/>
      <c r="N70" s="83"/>
      <c r="O70" s="83"/>
      <c r="P70" s="243"/>
      <c r="Q70" s="1038"/>
      <c r="R70" s="1038"/>
      <c r="S70" s="243"/>
      <c r="T70" s="1037"/>
      <c r="U70" s="1037"/>
      <c r="V70" s="1037"/>
      <c r="W70" s="1037"/>
      <c r="X70" s="243"/>
      <c r="Y70" s="243"/>
      <c r="Z70" s="243"/>
      <c r="AA70" s="243"/>
      <c r="AB70" s="243"/>
      <c r="AC70" s="243"/>
      <c r="AD70" s="243"/>
      <c r="AE70" s="243"/>
      <c r="AF70" s="243"/>
      <c r="AG70" s="243"/>
      <c r="AH70" s="243"/>
      <c r="AI70" s="243"/>
      <c r="AJ70" s="243"/>
      <c r="AK70" s="243"/>
      <c r="AL70" s="1038"/>
    </row>
    <row r="71" spans="1:38" ht="20.399999999999999" customHeight="1" x14ac:dyDescent="0.3">
      <c r="A71" s="83"/>
      <c r="B71" s="83"/>
      <c r="C71" s="83"/>
      <c r="D71" s="83"/>
      <c r="E71" s="83"/>
      <c r="F71" s="83"/>
      <c r="G71" s="83"/>
      <c r="H71" s="83"/>
      <c r="I71" s="83"/>
      <c r="J71" s="83"/>
      <c r="K71" s="83"/>
      <c r="L71" s="83"/>
      <c r="M71" s="83"/>
      <c r="N71" s="83"/>
      <c r="O71" s="83"/>
      <c r="P71" s="243"/>
      <c r="Q71" s="1038"/>
      <c r="R71" s="1038"/>
      <c r="S71" s="243"/>
      <c r="T71" s="1037"/>
      <c r="U71" s="1037"/>
      <c r="V71" s="1037"/>
      <c r="W71" s="1037"/>
      <c r="X71" s="243"/>
      <c r="Y71" s="243"/>
      <c r="Z71" s="243"/>
      <c r="AA71" s="243"/>
      <c r="AB71" s="243"/>
      <c r="AC71" s="243"/>
      <c r="AD71" s="243"/>
      <c r="AE71" s="243"/>
      <c r="AF71" s="243"/>
      <c r="AG71" s="243"/>
      <c r="AH71" s="243"/>
      <c r="AI71" s="243"/>
      <c r="AJ71" s="243"/>
      <c r="AK71" s="243"/>
      <c r="AL71" s="1038"/>
    </row>
    <row r="72" spans="1:38" ht="20.399999999999999" customHeight="1" x14ac:dyDescent="0.3">
      <c r="A72" s="83"/>
      <c r="B72" s="83"/>
      <c r="C72" s="83"/>
      <c r="D72" s="83"/>
      <c r="E72" s="83"/>
      <c r="F72" s="83"/>
      <c r="G72" s="83"/>
      <c r="H72" s="83"/>
      <c r="I72" s="83"/>
      <c r="J72" s="83"/>
      <c r="K72" s="83"/>
      <c r="L72" s="83"/>
      <c r="M72" s="83"/>
      <c r="N72" s="83"/>
      <c r="O72" s="83"/>
      <c r="P72" s="243"/>
      <c r="Q72" s="1038"/>
      <c r="R72" s="1038"/>
      <c r="S72" s="243"/>
      <c r="T72" s="1037"/>
      <c r="U72" s="1037"/>
      <c r="V72" s="1037"/>
      <c r="W72" s="1037"/>
      <c r="X72" s="243"/>
      <c r="Y72" s="243"/>
      <c r="Z72" s="243"/>
      <c r="AA72" s="243"/>
      <c r="AB72" s="243"/>
      <c r="AC72" s="243"/>
      <c r="AD72" s="243"/>
      <c r="AE72" s="243"/>
      <c r="AF72" s="243"/>
      <c r="AG72" s="243"/>
      <c r="AH72" s="243"/>
      <c r="AI72" s="243"/>
      <c r="AJ72" s="243"/>
      <c r="AK72" s="243"/>
      <c r="AL72" s="1038"/>
    </row>
    <row r="73" spans="1:38" ht="20.399999999999999" customHeight="1" x14ac:dyDescent="0.3">
      <c r="A73" s="83"/>
      <c r="B73" s="83"/>
      <c r="C73" s="83"/>
      <c r="D73" s="83"/>
      <c r="E73" s="83"/>
      <c r="F73" s="83"/>
      <c r="G73" s="83"/>
      <c r="H73" s="83"/>
      <c r="I73" s="83"/>
      <c r="J73" s="83"/>
      <c r="K73" s="83"/>
      <c r="L73" s="83"/>
      <c r="M73" s="83"/>
      <c r="N73" s="83"/>
      <c r="O73" s="83"/>
      <c r="P73" s="243"/>
      <c r="Q73" s="1038"/>
      <c r="R73" s="1038"/>
      <c r="S73" s="243"/>
      <c r="T73" s="1037"/>
      <c r="U73" s="1037"/>
      <c r="V73" s="1037"/>
      <c r="W73" s="1037"/>
      <c r="X73" s="243"/>
      <c r="Y73" s="243"/>
      <c r="Z73" s="243"/>
      <c r="AA73" s="243"/>
      <c r="AB73" s="243"/>
      <c r="AC73" s="243"/>
      <c r="AD73" s="243"/>
      <c r="AE73" s="243"/>
      <c r="AF73" s="243"/>
      <c r="AG73" s="243"/>
      <c r="AH73" s="243"/>
      <c r="AI73" s="243"/>
      <c r="AJ73" s="243"/>
      <c r="AK73" s="243"/>
      <c r="AL73" s="1038"/>
    </row>
    <row r="74" spans="1:38" ht="20.399999999999999" customHeight="1" x14ac:dyDescent="0.3">
      <c r="A74" s="83"/>
      <c r="B74" s="83"/>
      <c r="C74" s="83"/>
      <c r="D74" s="83"/>
      <c r="E74" s="83"/>
      <c r="F74" s="83"/>
      <c r="G74" s="83"/>
      <c r="H74" s="83"/>
      <c r="I74" s="83"/>
      <c r="J74" s="83"/>
      <c r="K74" s="83"/>
      <c r="L74" s="83"/>
      <c r="M74" s="83"/>
      <c r="N74" s="83"/>
      <c r="O74" s="83"/>
      <c r="P74" s="243"/>
      <c r="Q74" s="1038"/>
      <c r="R74" s="1038"/>
      <c r="S74" s="243"/>
      <c r="T74" s="1037"/>
      <c r="U74" s="1037"/>
      <c r="V74" s="1037"/>
      <c r="W74" s="1037"/>
      <c r="X74" s="243"/>
      <c r="Y74" s="243"/>
      <c r="Z74" s="243"/>
      <c r="AA74" s="243"/>
      <c r="AB74" s="243"/>
      <c r="AC74" s="243"/>
      <c r="AD74" s="243"/>
      <c r="AE74" s="243"/>
      <c r="AF74" s="243"/>
      <c r="AG74" s="243"/>
      <c r="AH74" s="243"/>
      <c r="AI74" s="243"/>
      <c r="AJ74" s="243"/>
      <c r="AK74" s="243"/>
      <c r="AL74" s="1038"/>
    </row>
    <row r="75" spans="1:38" ht="20.399999999999999" customHeight="1" x14ac:dyDescent="0.3">
      <c r="A75" s="83"/>
      <c r="B75" s="83"/>
      <c r="C75" s="83"/>
      <c r="D75" s="83"/>
      <c r="E75" s="83"/>
      <c r="F75" s="83"/>
      <c r="G75" s="83"/>
      <c r="H75" s="83"/>
      <c r="I75" s="83"/>
      <c r="J75" s="83"/>
      <c r="K75" s="83"/>
      <c r="L75" s="83"/>
      <c r="M75" s="83"/>
      <c r="N75" s="83"/>
      <c r="O75" s="83"/>
      <c r="P75" s="243"/>
      <c r="Q75" s="1038"/>
      <c r="R75" s="1038"/>
      <c r="S75" s="243"/>
      <c r="T75" s="1037"/>
      <c r="U75" s="1037"/>
      <c r="V75" s="1037"/>
      <c r="W75" s="1037"/>
      <c r="X75" s="243"/>
      <c r="Y75" s="243"/>
      <c r="Z75" s="243"/>
      <c r="AA75" s="243"/>
      <c r="AB75" s="243"/>
      <c r="AC75" s="243"/>
      <c r="AD75" s="243"/>
      <c r="AE75" s="243"/>
      <c r="AF75" s="243"/>
      <c r="AG75" s="243"/>
      <c r="AH75" s="243"/>
      <c r="AI75" s="243"/>
      <c r="AJ75" s="243"/>
      <c r="AK75" s="243"/>
      <c r="AL75" s="1038"/>
    </row>
    <row r="76" spans="1:38" ht="20.399999999999999" customHeight="1" x14ac:dyDescent="0.3">
      <c r="A76" s="83"/>
      <c r="B76" s="83"/>
      <c r="C76" s="83"/>
      <c r="D76" s="83"/>
      <c r="E76" s="83"/>
      <c r="F76" s="83"/>
      <c r="G76" s="83"/>
      <c r="H76" s="83"/>
      <c r="I76" s="83"/>
      <c r="J76" s="83"/>
      <c r="K76" s="83"/>
      <c r="L76" s="83"/>
      <c r="M76" s="83"/>
      <c r="N76" s="83"/>
      <c r="O76" s="83"/>
      <c r="P76" s="243"/>
      <c r="Q76" s="1038"/>
      <c r="R76" s="1038"/>
      <c r="S76" s="243"/>
      <c r="T76" s="1037"/>
      <c r="U76" s="1037"/>
      <c r="V76" s="1037"/>
      <c r="W76" s="1037"/>
      <c r="X76" s="243"/>
      <c r="Y76" s="243"/>
      <c r="Z76" s="243"/>
      <c r="AA76" s="243"/>
      <c r="AB76" s="243"/>
      <c r="AC76" s="243"/>
      <c r="AD76" s="243"/>
      <c r="AE76" s="243"/>
      <c r="AF76" s="243"/>
      <c r="AG76" s="243"/>
      <c r="AH76" s="243"/>
      <c r="AI76" s="243"/>
      <c r="AJ76" s="243"/>
      <c r="AK76" s="243"/>
      <c r="AL76" s="1038"/>
    </row>
    <row r="77" spans="1:38" ht="20.399999999999999" customHeight="1" x14ac:dyDescent="0.3">
      <c r="A77" s="83"/>
      <c r="B77" s="83"/>
      <c r="C77" s="83"/>
      <c r="D77" s="83"/>
      <c r="E77" s="83"/>
      <c r="F77" s="83"/>
      <c r="G77" s="83"/>
      <c r="H77" s="83"/>
      <c r="I77" s="83"/>
      <c r="J77" s="83"/>
      <c r="K77" s="83"/>
      <c r="L77" s="83"/>
      <c r="M77" s="83"/>
      <c r="N77" s="83"/>
      <c r="O77" s="83"/>
      <c r="P77" s="243"/>
      <c r="Q77" s="1038"/>
      <c r="R77" s="1038"/>
      <c r="S77" s="243"/>
      <c r="T77" s="1037"/>
      <c r="U77" s="1037"/>
      <c r="V77" s="1037"/>
      <c r="W77" s="1037"/>
      <c r="X77" s="243"/>
      <c r="Y77" s="243"/>
      <c r="Z77" s="243"/>
      <c r="AA77" s="243"/>
      <c r="AB77" s="243"/>
      <c r="AC77" s="243"/>
      <c r="AD77" s="243"/>
      <c r="AE77" s="243"/>
      <c r="AF77" s="243"/>
      <c r="AG77" s="243"/>
      <c r="AH77" s="243"/>
      <c r="AI77" s="243"/>
      <c r="AJ77" s="243"/>
      <c r="AK77" s="243"/>
      <c r="AL77" s="1038"/>
    </row>
    <row r="78" spans="1:38" ht="20.399999999999999" customHeight="1" x14ac:dyDescent="0.3">
      <c r="A78" s="83"/>
      <c r="B78" s="83"/>
      <c r="C78" s="83"/>
      <c r="D78" s="83"/>
      <c r="E78" s="83"/>
      <c r="F78" s="83"/>
      <c r="G78" s="83"/>
      <c r="H78" s="83"/>
      <c r="I78" s="83"/>
      <c r="J78" s="83"/>
      <c r="K78" s="83"/>
      <c r="L78" s="83"/>
      <c r="M78" s="83"/>
      <c r="N78" s="83"/>
      <c r="O78" s="83"/>
      <c r="P78" s="243"/>
      <c r="Q78" s="1038"/>
      <c r="R78" s="1038"/>
      <c r="S78" s="243"/>
      <c r="T78" s="1037"/>
      <c r="U78" s="1037"/>
      <c r="V78" s="1037"/>
      <c r="W78" s="1037"/>
      <c r="X78" s="243"/>
      <c r="Y78" s="243"/>
      <c r="Z78" s="243"/>
      <c r="AA78" s="243"/>
      <c r="AB78" s="243"/>
      <c r="AC78" s="243"/>
      <c r="AD78" s="243"/>
      <c r="AE78" s="243"/>
      <c r="AF78" s="243"/>
      <c r="AG78" s="243"/>
      <c r="AH78" s="243"/>
      <c r="AI78" s="243"/>
      <c r="AJ78" s="243"/>
      <c r="AK78" s="243"/>
      <c r="AL78" s="1038"/>
    </row>
    <row r="79" spans="1:38" ht="20.399999999999999" customHeight="1" x14ac:dyDescent="0.3">
      <c r="A79" s="83"/>
      <c r="B79" s="83"/>
      <c r="C79" s="83"/>
      <c r="D79" s="83"/>
      <c r="E79" s="83"/>
      <c r="F79" s="83"/>
      <c r="G79" s="83"/>
      <c r="H79" s="83"/>
      <c r="I79" s="83"/>
      <c r="J79" s="83"/>
      <c r="K79" s="83"/>
      <c r="L79" s="83"/>
      <c r="M79" s="83"/>
      <c r="N79" s="83"/>
      <c r="O79" s="83"/>
      <c r="P79" s="243"/>
      <c r="Q79" s="1038"/>
      <c r="R79" s="1038"/>
      <c r="S79" s="243"/>
      <c r="T79" s="1037"/>
      <c r="U79" s="1037"/>
      <c r="V79" s="1037"/>
      <c r="W79" s="1037"/>
      <c r="X79" s="243"/>
      <c r="Y79" s="243"/>
      <c r="Z79" s="243"/>
      <c r="AA79" s="243"/>
      <c r="AB79" s="243"/>
      <c r="AC79" s="243"/>
      <c r="AD79" s="243"/>
      <c r="AE79" s="243"/>
      <c r="AF79" s="243"/>
      <c r="AG79" s="243"/>
      <c r="AH79" s="243"/>
      <c r="AI79" s="243"/>
      <c r="AJ79" s="243"/>
      <c r="AK79" s="243"/>
      <c r="AL79" s="1038"/>
    </row>
    <row r="80" spans="1:38" ht="20.399999999999999" customHeight="1" x14ac:dyDescent="0.3">
      <c r="A80" s="83"/>
      <c r="B80" s="83"/>
      <c r="C80" s="83"/>
      <c r="D80" s="83"/>
      <c r="E80" s="83"/>
      <c r="F80" s="83"/>
      <c r="G80" s="83"/>
      <c r="H80" s="83"/>
      <c r="I80" s="83"/>
      <c r="J80" s="83"/>
      <c r="K80" s="83"/>
      <c r="L80" s="83"/>
      <c r="M80" s="83"/>
      <c r="N80" s="83"/>
      <c r="O80" s="83"/>
      <c r="P80" s="243"/>
      <c r="Q80" s="1038"/>
      <c r="R80" s="1038"/>
      <c r="S80" s="243"/>
      <c r="T80" s="1037"/>
      <c r="U80" s="1037"/>
      <c r="V80" s="1037"/>
      <c r="W80" s="1037"/>
      <c r="X80" s="243"/>
      <c r="Y80" s="243"/>
      <c r="Z80" s="243"/>
      <c r="AA80" s="243"/>
      <c r="AB80" s="243"/>
      <c r="AC80" s="243"/>
      <c r="AD80" s="243"/>
      <c r="AE80" s="243"/>
      <c r="AF80" s="243"/>
      <c r="AG80" s="243"/>
      <c r="AH80" s="243"/>
      <c r="AI80" s="243"/>
      <c r="AJ80" s="243"/>
      <c r="AK80" s="243"/>
      <c r="AL80" s="1038"/>
    </row>
    <row r="81" spans="1:38" ht="20.399999999999999" customHeight="1" x14ac:dyDescent="0.3">
      <c r="A81" s="83"/>
      <c r="B81" s="83"/>
      <c r="C81" s="83"/>
      <c r="D81" s="83"/>
      <c r="E81" s="83"/>
      <c r="F81" s="83"/>
      <c r="G81" s="83"/>
      <c r="H81" s="83"/>
      <c r="I81" s="83"/>
      <c r="J81" s="83"/>
      <c r="K81" s="83"/>
      <c r="L81" s="83"/>
      <c r="M81" s="83"/>
      <c r="N81" s="83"/>
      <c r="O81" s="83"/>
      <c r="P81" s="243"/>
      <c r="Q81" s="1038"/>
      <c r="R81" s="1038"/>
      <c r="S81" s="243"/>
      <c r="T81" s="1037"/>
      <c r="U81" s="1037"/>
      <c r="V81" s="1037"/>
      <c r="W81" s="1037"/>
      <c r="X81" s="243"/>
      <c r="Y81" s="243"/>
      <c r="Z81" s="243"/>
      <c r="AA81" s="243"/>
      <c r="AB81" s="243"/>
      <c r="AC81" s="243"/>
      <c r="AD81" s="243"/>
      <c r="AE81" s="243"/>
      <c r="AF81" s="243"/>
      <c r="AG81" s="243"/>
      <c r="AH81" s="243"/>
      <c r="AI81" s="243"/>
      <c r="AJ81" s="243"/>
      <c r="AK81" s="243"/>
      <c r="AL81" s="1038"/>
    </row>
    <row r="82" spans="1:38" ht="20.399999999999999" customHeight="1" x14ac:dyDescent="0.3">
      <c r="A82" s="83"/>
      <c r="B82" s="83"/>
      <c r="C82" s="83"/>
      <c r="D82" s="83"/>
      <c r="E82" s="83"/>
      <c r="F82" s="83"/>
      <c r="G82" s="83"/>
      <c r="H82" s="83"/>
      <c r="I82" s="83"/>
      <c r="J82" s="83"/>
      <c r="K82" s="83"/>
      <c r="L82" s="83"/>
      <c r="M82" s="83"/>
      <c r="N82" s="83"/>
      <c r="O82" s="83"/>
      <c r="P82" s="243"/>
      <c r="Q82" s="1038"/>
      <c r="R82" s="1038"/>
      <c r="S82" s="243"/>
      <c r="T82" s="1037"/>
      <c r="U82" s="1037"/>
      <c r="V82" s="1037"/>
      <c r="W82" s="1037"/>
      <c r="X82" s="243"/>
      <c r="Y82" s="243"/>
      <c r="Z82" s="243"/>
      <c r="AA82" s="243"/>
      <c r="AB82" s="243"/>
      <c r="AC82" s="243"/>
      <c r="AD82" s="243"/>
      <c r="AE82" s="243"/>
      <c r="AF82" s="243"/>
      <c r="AG82" s="243"/>
      <c r="AH82" s="243"/>
      <c r="AI82" s="243"/>
      <c r="AJ82" s="243"/>
      <c r="AK82" s="243"/>
      <c r="AL82" s="1038"/>
    </row>
    <row r="83" spans="1:38" ht="20.399999999999999" customHeight="1" x14ac:dyDescent="0.3">
      <c r="A83" s="83"/>
      <c r="B83" s="83"/>
      <c r="C83" s="83"/>
      <c r="D83" s="83"/>
      <c r="E83" s="83"/>
      <c r="F83" s="83"/>
      <c r="G83" s="83"/>
      <c r="H83" s="83"/>
      <c r="I83" s="83"/>
      <c r="J83" s="83"/>
      <c r="K83" s="83"/>
      <c r="L83" s="83"/>
      <c r="M83" s="83"/>
      <c r="N83" s="83"/>
      <c r="O83" s="83"/>
      <c r="P83" s="243"/>
      <c r="Q83" s="1038"/>
      <c r="R83" s="1038"/>
      <c r="S83" s="243"/>
      <c r="T83" s="1037"/>
      <c r="U83" s="1037"/>
      <c r="V83" s="1037"/>
      <c r="W83" s="1037"/>
      <c r="X83" s="243"/>
      <c r="Y83" s="243"/>
      <c r="Z83" s="243"/>
      <c r="AA83" s="243"/>
      <c r="AB83" s="243"/>
      <c r="AC83" s="243"/>
      <c r="AD83" s="243"/>
      <c r="AE83" s="243"/>
      <c r="AF83" s="243"/>
      <c r="AG83" s="243"/>
      <c r="AH83" s="243"/>
      <c r="AI83" s="243"/>
      <c r="AJ83" s="243"/>
      <c r="AK83" s="243"/>
      <c r="AL83" s="1038"/>
    </row>
    <row r="84" spans="1:38" ht="20.399999999999999" customHeight="1" x14ac:dyDescent="0.3">
      <c r="A84" s="83"/>
      <c r="B84" s="83"/>
      <c r="C84" s="83"/>
      <c r="D84" s="83"/>
      <c r="E84" s="83"/>
      <c r="F84" s="83"/>
      <c r="G84" s="83"/>
      <c r="H84" s="83"/>
      <c r="I84" s="83"/>
      <c r="J84" s="83"/>
      <c r="K84" s="83"/>
      <c r="L84" s="83"/>
      <c r="M84" s="83"/>
      <c r="N84" s="83"/>
      <c r="O84" s="83"/>
      <c r="P84" s="243"/>
      <c r="Q84" s="1038"/>
      <c r="R84" s="1038"/>
      <c r="S84" s="243"/>
      <c r="T84" s="1037"/>
      <c r="U84" s="1037"/>
      <c r="V84" s="1037"/>
      <c r="W84" s="1037"/>
      <c r="X84" s="243"/>
      <c r="Y84" s="243"/>
      <c r="Z84" s="243"/>
      <c r="AA84" s="243"/>
      <c r="AB84" s="243"/>
      <c r="AC84" s="243"/>
      <c r="AD84" s="243"/>
      <c r="AE84" s="243"/>
      <c r="AF84" s="243"/>
      <c r="AG84" s="243"/>
      <c r="AH84" s="243"/>
      <c r="AI84" s="243"/>
      <c r="AJ84" s="243"/>
      <c r="AK84" s="243"/>
      <c r="AL84" s="1038"/>
    </row>
    <row r="85" spans="1:38" ht="20.399999999999999" customHeight="1" x14ac:dyDescent="0.3">
      <c r="A85" s="83"/>
      <c r="B85" s="83"/>
      <c r="C85" s="83"/>
      <c r="D85" s="83"/>
      <c r="E85" s="83"/>
      <c r="F85" s="83"/>
      <c r="G85" s="83"/>
      <c r="H85" s="83"/>
      <c r="I85" s="83"/>
      <c r="J85" s="83"/>
      <c r="K85" s="83"/>
      <c r="L85" s="83"/>
      <c r="M85" s="83"/>
      <c r="N85" s="83"/>
      <c r="O85" s="83"/>
      <c r="P85" s="243"/>
      <c r="Q85" s="1038"/>
      <c r="R85" s="1038"/>
      <c r="S85" s="243"/>
      <c r="T85" s="1037"/>
      <c r="U85" s="1037"/>
      <c r="V85" s="1037"/>
      <c r="W85" s="1037"/>
      <c r="X85" s="243"/>
      <c r="Y85" s="243"/>
      <c r="Z85" s="243"/>
      <c r="AA85" s="243"/>
      <c r="AB85" s="243"/>
      <c r="AC85" s="243"/>
      <c r="AD85" s="243"/>
      <c r="AE85" s="243"/>
      <c r="AF85" s="243"/>
      <c r="AG85" s="243"/>
      <c r="AH85" s="243"/>
      <c r="AI85" s="243"/>
      <c r="AJ85" s="243"/>
      <c r="AK85" s="243"/>
      <c r="AL85" s="1038"/>
    </row>
    <row r="86" spans="1:38" ht="20.399999999999999" customHeight="1" x14ac:dyDescent="0.3">
      <c r="A86" s="83"/>
      <c r="B86" s="83"/>
      <c r="C86" s="83"/>
      <c r="D86" s="83"/>
      <c r="E86" s="83"/>
      <c r="F86" s="83"/>
      <c r="G86" s="83"/>
      <c r="H86" s="83"/>
      <c r="I86" s="83"/>
      <c r="J86" s="83"/>
      <c r="K86" s="83"/>
      <c r="L86" s="83"/>
      <c r="M86" s="83"/>
      <c r="N86" s="83"/>
      <c r="O86" s="83"/>
      <c r="P86" s="243"/>
      <c r="Q86" s="1038"/>
      <c r="R86" s="1038"/>
      <c r="S86" s="243"/>
      <c r="T86" s="1037"/>
      <c r="U86" s="1037"/>
      <c r="V86" s="1037"/>
      <c r="W86" s="1037"/>
      <c r="X86" s="243"/>
      <c r="Y86" s="243"/>
      <c r="Z86" s="243"/>
      <c r="AA86" s="243"/>
      <c r="AB86" s="243"/>
      <c r="AC86" s="243"/>
      <c r="AD86" s="243"/>
      <c r="AE86" s="243"/>
      <c r="AF86" s="243"/>
      <c r="AG86" s="243"/>
      <c r="AH86" s="243"/>
      <c r="AI86" s="243"/>
      <c r="AJ86" s="243"/>
      <c r="AK86" s="243"/>
      <c r="AL86" s="1038"/>
    </row>
    <row r="87" spans="1:38" ht="20.399999999999999" customHeight="1" x14ac:dyDescent="0.3">
      <c r="A87" s="83"/>
      <c r="B87" s="83"/>
      <c r="C87" s="83"/>
      <c r="D87" s="83"/>
      <c r="E87" s="83"/>
      <c r="F87" s="83"/>
      <c r="G87" s="83"/>
      <c r="H87" s="83"/>
      <c r="I87" s="83"/>
      <c r="J87" s="83"/>
      <c r="K87" s="83"/>
      <c r="L87" s="83"/>
      <c r="M87" s="83"/>
      <c r="N87" s="83"/>
      <c r="O87" s="83"/>
      <c r="P87" s="243"/>
      <c r="Q87" s="1038"/>
      <c r="R87" s="1038"/>
      <c r="S87" s="243"/>
      <c r="T87" s="1037"/>
      <c r="U87" s="1037"/>
      <c r="V87" s="1037"/>
      <c r="W87" s="1037"/>
      <c r="X87" s="243"/>
      <c r="Y87" s="243"/>
      <c r="Z87" s="243"/>
      <c r="AA87" s="243"/>
      <c r="AB87" s="243"/>
      <c r="AC87" s="243"/>
      <c r="AD87" s="243"/>
      <c r="AE87" s="243"/>
      <c r="AF87" s="243"/>
      <c r="AG87" s="243"/>
      <c r="AH87" s="243"/>
      <c r="AI87" s="243"/>
      <c r="AJ87" s="243"/>
      <c r="AK87" s="243"/>
      <c r="AL87" s="1038"/>
    </row>
    <row r="88" spans="1:38" ht="20.399999999999999" customHeight="1" x14ac:dyDescent="0.3">
      <c r="A88" s="83"/>
      <c r="B88" s="83"/>
      <c r="C88" s="83"/>
      <c r="D88" s="83"/>
      <c r="E88" s="83"/>
      <c r="F88" s="83"/>
      <c r="G88" s="83"/>
      <c r="H88" s="83"/>
      <c r="I88" s="83"/>
      <c r="J88" s="83"/>
      <c r="K88" s="83"/>
      <c r="L88" s="83"/>
      <c r="M88" s="83"/>
      <c r="N88" s="83"/>
      <c r="O88" s="83"/>
      <c r="P88" s="243"/>
      <c r="Q88" s="1038"/>
      <c r="R88" s="1038"/>
      <c r="S88" s="243"/>
      <c r="T88" s="1037"/>
      <c r="U88" s="1037"/>
      <c r="V88" s="1037"/>
      <c r="W88" s="1037"/>
      <c r="X88" s="243"/>
      <c r="Y88" s="243"/>
      <c r="Z88" s="243"/>
      <c r="AA88" s="243"/>
      <c r="AB88" s="243"/>
      <c r="AC88" s="243"/>
      <c r="AD88" s="243"/>
      <c r="AE88" s="243"/>
      <c r="AF88" s="243"/>
      <c r="AG88" s="243"/>
      <c r="AH88" s="243"/>
      <c r="AI88" s="243"/>
      <c r="AJ88" s="243"/>
      <c r="AK88" s="243"/>
      <c r="AL88" s="1038"/>
    </row>
    <row r="89" spans="1:38" ht="20.399999999999999" customHeight="1" x14ac:dyDescent="0.3">
      <c r="A89" s="83"/>
      <c r="B89" s="83"/>
      <c r="C89" s="83"/>
      <c r="D89" s="83"/>
      <c r="E89" s="83"/>
      <c r="F89" s="83"/>
      <c r="G89" s="83"/>
      <c r="H89" s="83"/>
      <c r="I89" s="83"/>
      <c r="J89" s="83"/>
      <c r="K89" s="83"/>
      <c r="L89" s="83"/>
      <c r="M89" s="83"/>
      <c r="N89" s="83"/>
      <c r="O89" s="83"/>
      <c r="P89" s="243"/>
      <c r="Q89" s="1038"/>
      <c r="R89" s="1038"/>
      <c r="S89" s="243"/>
      <c r="T89" s="1037"/>
      <c r="U89" s="1037"/>
      <c r="V89" s="1037"/>
      <c r="W89" s="1037"/>
      <c r="X89" s="243"/>
      <c r="Y89" s="243"/>
      <c r="Z89" s="243"/>
      <c r="AA89" s="243"/>
      <c r="AB89" s="243"/>
      <c r="AC89" s="243"/>
      <c r="AD89" s="243"/>
      <c r="AE89" s="243"/>
      <c r="AF89" s="243"/>
      <c r="AG89" s="243"/>
      <c r="AH89" s="243"/>
      <c r="AI89" s="243"/>
      <c r="AJ89" s="243"/>
      <c r="AK89" s="243"/>
      <c r="AL89" s="1038"/>
    </row>
    <row r="90" spans="1:38" ht="20.399999999999999" customHeight="1" x14ac:dyDescent="0.3">
      <c r="A90" s="83"/>
      <c r="B90" s="83"/>
      <c r="C90" s="83"/>
      <c r="D90" s="83"/>
      <c r="E90" s="83"/>
      <c r="F90" s="83"/>
      <c r="G90" s="83"/>
      <c r="H90" s="83"/>
      <c r="I90" s="83"/>
      <c r="J90" s="83"/>
      <c r="K90" s="83"/>
      <c r="L90" s="83"/>
      <c r="M90" s="83"/>
      <c r="N90" s="83"/>
      <c r="O90" s="83"/>
      <c r="P90" s="243"/>
      <c r="Q90" s="1038"/>
      <c r="R90" s="1038"/>
      <c r="S90" s="243"/>
      <c r="T90" s="1037"/>
      <c r="U90" s="1037"/>
      <c r="V90" s="1037"/>
      <c r="W90" s="1037"/>
      <c r="X90" s="243"/>
      <c r="Y90" s="243"/>
      <c r="Z90" s="243"/>
      <c r="AA90" s="243"/>
      <c r="AB90" s="243"/>
      <c r="AC90" s="243"/>
      <c r="AD90" s="243"/>
      <c r="AE90" s="243"/>
      <c r="AF90" s="243"/>
      <c r="AG90" s="243"/>
      <c r="AH90" s="243"/>
      <c r="AI90" s="243"/>
      <c r="AJ90" s="243"/>
      <c r="AK90" s="243"/>
      <c r="AL90" s="1038"/>
    </row>
    <row r="91" spans="1:38" ht="20.399999999999999" customHeight="1" x14ac:dyDescent="0.3">
      <c r="A91" s="83"/>
      <c r="B91" s="83"/>
      <c r="C91" s="83"/>
      <c r="D91" s="83"/>
      <c r="E91" s="83"/>
      <c r="F91" s="83"/>
      <c r="G91" s="83"/>
      <c r="H91" s="83"/>
      <c r="I91" s="83"/>
      <c r="J91" s="83"/>
      <c r="K91" s="83"/>
      <c r="L91" s="83"/>
      <c r="M91" s="83"/>
      <c r="N91" s="83"/>
      <c r="O91" s="83"/>
      <c r="P91" s="243"/>
      <c r="Q91" s="1038"/>
      <c r="R91" s="1038"/>
      <c r="S91" s="243"/>
      <c r="T91" s="1037"/>
      <c r="U91" s="1037"/>
      <c r="V91" s="1037"/>
      <c r="W91" s="1037"/>
      <c r="X91" s="243"/>
      <c r="Y91" s="243"/>
      <c r="Z91" s="243"/>
      <c r="AA91" s="243"/>
      <c r="AB91" s="243"/>
      <c r="AC91" s="243"/>
      <c r="AD91" s="243"/>
      <c r="AE91" s="243"/>
      <c r="AF91" s="243"/>
      <c r="AG91" s="243"/>
      <c r="AH91" s="243"/>
      <c r="AI91" s="243"/>
      <c r="AJ91" s="243"/>
      <c r="AK91" s="243"/>
      <c r="AL91" s="1038"/>
    </row>
    <row r="92" spans="1:38" ht="20.399999999999999" customHeight="1" x14ac:dyDescent="0.3">
      <c r="A92" s="83"/>
      <c r="B92" s="83"/>
      <c r="C92" s="83"/>
      <c r="D92" s="83"/>
      <c r="E92" s="83"/>
      <c r="F92" s="83"/>
      <c r="G92" s="83"/>
      <c r="H92" s="83"/>
      <c r="I92" s="83"/>
      <c r="J92" s="83"/>
      <c r="K92" s="83"/>
      <c r="L92" s="83"/>
      <c r="M92" s="83"/>
      <c r="N92" s="83"/>
      <c r="P92" s="1038"/>
      <c r="Q92" s="1038"/>
      <c r="R92" s="1038"/>
      <c r="S92" s="243"/>
      <c r="T92" s="243"/>
      <c r="U92" s="243"/>
      <c r="V92" s="243"/>
      <c r="W92" s="243"/>
      <c r="X92" s="243"/>
      <c r="Y92" s="243"/>
      <c r="Z92" s="243"/>
      <c r="AA92" s="243"/>
      <c r="AB92" s="243"/>
      <c r="AC92" s="243"/>
      <c r="AD92" s="243"/>
      <c r="AE92" s="243"/>
      <c r="AF92" s="243"/>
      <c r="AG92" s="243"/>
      <c r="AH92" s="243"/>
      <c r="AI92" s="243"/>
      <c r="AJ92" s="243"/>
      <c r="AK92" s="243"/>
      <c r="AL92" s="1038"/>
    </row>
    <row r="93" spans="1:38" ht="20.399999999999999" customHeight="1" x14ac:dyDescent="0.3">
      <c r="A93" s="83"/>
      <c r="B93" s="83"/>
      <c r="C93" s="83"/>
      <c r="D93" s="83"/>
      <c r="E93" s="83"/>
      <c r="F93" s="83"/>
      <c r="G93" s="83"/>
      <c r="H93" s="83"/>
      <c r="I93" s="83"/>
      <c r="J93" s="83"/>
      <c r="K93" s="83"/>
      <c r="L93" s="83"/>
      <c r="M93" s="83"/>
      <c r="N93" s="83"/>
      <c r="P93" s="1038"/>
      <c r="Q93" s="1038"/>
      <c r="R93" s="1038"/>
      <c r="S93" s="243"/>
      <c r="T93" s="243"/>
      <c r="U93" s="243"/>
      <c r="V93" s="243"/>
      <c r="W93" s="243"/>
      <c r="X93" s="243"/>
      <c r="Y93" s="243"/>
      <c r="Z93" s="243"/>
      <c r="AA93" s="243"/>
      <c r="AB93" s="243"/>
      <c r="AC93" s="243"/>
      <c r="AD93" s="243"/>
      <c r="AE93" s="243"/>
      <c r="AF93" s="243"/>
      <c r="AG93" s="243"/>
      <c r="AH93" s="243"/>
      <c r="AI93" s="243"/>
      <c r="AJ93" s="243"/>
      <c r="AK93" s="243"/>
      <c r="AL93" s="1038"/>
    </row>
    <row r="94" spans="1:38" ht="20.399999999999999" customHeight="1" x14ac:dyDescent="0.3">
      <c r="A94" s="83"/>
      <c r="B94" s="83"/>
      <c r="C94" s="83"/>
      <c r="D94" s="83"/>
      <c r="E94" s="83"/>
      <c r="F94" s="83"/>
      <c r="G94" s="83"/>
      <c r="H94" s="83"/>
      <c r="I94" s="83"/>
      <c r="J94" s="83"/>
      <c r="K94" s="83"/>
      <c r="L94" s="83"/>
      <c r="M94" s="83"/>
      <c r="N94" s="83"/>
      <c r="P94" s="1038"/>
      <c r="Q94" s="1038"/>
      <c r="R94" s="1038"/>
      <c r="S94" s="243"/>
      <c r="T94" s="243"/>
      <c r="U94" s="243"/>
      <c r="V94" s="243"/>
      <c r="W94" s="243"/>
      <c r="X94" s="243"/>
      <c r="Y94" s="243"/>
      <c r="Z94" s="243"/>
      <c r="AA94" s="243"/>
      <c r="AB94" s="243"/>
      <c r="AC94" s="243"/>
      <c r="AD94" s="243"/>
      <c r="AE94" s="243"/>
      <c r="AF94" s="243"/>
      <c r="AG94" s="243"/>
      <c r="AH94" s="243"/>
      <c r="AI94" s="243"/>
      <c r="AJ94" s="243"/>
      <c r="AK94" s="243"/>
      <c r="AL94" s="1038"/>
    </row>
    <row r="95" spans="1:38" ht="20.399999999999999" customHeight="1" x14ac:dyDescent="0.3">
      <c r="A95" s="83"/>
      <c r="B95" s="83"/>
      <c r="C95" s="83"/>
      <c r="D95" s="83"/>
      <c r="E95" s="83"/>
      <c r="F95" s="83"/>
      <c r="G95" s="83"/>
      <c r="H95" s="83"/>
      <c r="I95" s="83"/>
      <c r="J95" s="83"/>
      <c r="K95" s="83"/>
      <c r="L95" s="83"/>
      <c r="M95" s="83"/>
      <c r="N95" s="83"/>
      <c r="P95" s="1038"/>
      <c r="Q95" s="1038"/>
      <c r="R95" s="1038"/>
      <c r="S95" s="243"/>
      <c r="T95" s="243"/>
      <c r="U95" s="243"/>
      <c r="V95" s="243"/>
      <c r="W95" s="243"/>
      <c r="X95" s="243"/>
      <c r="Y95" s="243"/>
      <c r="Z95" s="243"/>
      <c r="AA95" s="243"/>
      <c r="AB95" s="243"/>
      <c r="AC95" s="243"/>
      <c r="AD95" s="243"/>
      <c r="AE95" s="243"/>
      <c r="AF95" s="243"/>
      <c r="AG95" s="243"/>
      <c r="AH95" s="243"/>
      <c r="AI95" s="243"/>
      <c r="AJ95" s="243"/>
      <c r="AK95" s="243"/>
      <c r="AL95" s="1038"/>
    </row>
    <row r="96" spans="1:38" ht="20.399999999999999" customHeight="1" x14ac:dyDescent="0.3">
      <c r="A96" s="83"/>
      <c r="B96" s="83"/>
      <c r="C96" s="83"/>
      <c r="D96" s="83"/>
      <c r="E96" s="83"/>
      <c r="F96" s="83"/>
      <c r="G96" s="83"/>
      <c r="H96" s="83"/>
      <c r="I96" s="83"/>
      <c r="J96" s="83"/>
      <c r="K96" s="83"/>
      <c r="L96" s="83"/>
      <c r="M96" s="83"/>
      <c r="N96" s="83"/>
      <c r="P96" s="1038"/>
      <c r="Q96" s="1038"/>
      <c r="R96" s="1038"/>
      <c r="S96" s="243"/>
      <c r="T96" s="243"/>
      <c r="U96" s="243"/>
      <c r="V96" s="243"/>
      <c r="W96" s="243"/>
      <c r="X96" s="243"/>
      <c r="Y96" s="243"/>
      <c r="Z96" s="243"/>
      <c r="AA96" s="243"/>
      <c r="AB96" s="243"/>
      <c r="AC96" s="243"/>
      <c r="AD96" s="243"/>
      <c r="AE96" s="243"/>
      <c r="AF96" s="243"/>
      <c r="AG96" s="243"/>
      <c r="AH96" s="243"/>
      <c r="AI96" s="243"/>
      <c r="AJ96" s="243"/>
      <c r="AK96" s="243"/>
      <c r="AL96" s="1038"/>
    </row>
    <row r="97" spans="1:37" ht="20.399999999999999" customHeight="1" x14ac:dyDescent="0.3">
      <c r="A97" s="83"/>
      <c r="B97" s="83"/>
      <c r="C97" s="83"/>
      <c r="D97" s="83"/>
      <c r="E97" s="83"/>
      <c r="F97" s="83"/>
      <c r="G97" s="83"/>
      <c r="H97" s="83"/>
      <c r="I97" s="83"/>
      <c r="J97" s="83"/>
      <c r="K97" s="83"/>
      <c r="L97" s="83"/>
      <c r="M97" s="83"/>
      <c r="N97" s="83"/>
      <c r="S97" s="83"/>
      <c r="T97" s="83"/>
      <c r="U97" s="83"/>
      <c r="V97" s="83"/>
      <c r="W97" s="83"/>
      <c r="X97" s="83"/>
      <c r="Y97" s="83"/>
      <c r="Z97" s="83"/>
      <c r="AA97" s="83"/>
      <c r="AB97" s="83"/>
      <c r="AC97" s="83"/>
      <c r="AD97" s="83"/>
      <c r="AE97" s="83"/>
      <c r="AF97" s="83"/>
      <c r="AG97" s="83"/>
      <c r="AH97" s="83"/>
      <c r="AI97" s="83"/>
      <c r="AJ97" s="83"/>
      <c r="AK97" s="83"/>
    </row>
    <row r="98" spans="1:37" ht="20.399999999999999" customHeight="1" x14ac:dyDescent="0.3">
      <c r="A98" s="83"/>
      <c r="B98" s="83"/>
      <c r="C98" s="83"/>
      <c r="D98" s="83"/>
      <c r="E98" s="83"/>
      <c r="F98" s="83"/>
      <c r="G98" s="83"/>
      <c r="H98" s="83"/>
      <c r="K98" s="83"/>
      <c r="L98" s="83"/>
      <c r="M98" s="83"/>
      <c r="N98" s="83"/>
      <c r="S98" s="83"/>
      <c r="T98" s="83"/>
      <c r="U98" s="83"/>
      <c r="V98" s="83"/>
      <c r="W98" s="83"/>
      <c r="X98" s="83"/>
      <c r="Y98" s="83"/>
      <c r="Z98" s="83"/>
      <c r="AA98" s="83"/>
      <c r="AB98" s="83"/>
      <c r="AC98" s="83"/>
      <c r="AD98" s="83"/>
      <c r="AE98" s="83"/>
      <c r="AF98" s="83"/>
      <c r="AG98" s="83"/>
      <c r="AH98" s="83"/>
      <c r="AI98" s="83"/>
      <c r="AJ98" s="83"/>
      <c r="AK98" s="83"/>
    </row>
    <row r="99" spans="1:37" x14ac:dyDescent="0.3">
      <c r="B99" s="83"/>
      <c r="C99" s="83"/>
      <c r="D99" s="83"/>
      <c r="E99" s="83"/>
      <c r="F99" s="83"/>
      <c r="G99" s="83"/>
      <c r="H99" s="83"/>
    </row>
  </sheetData>
  <mergeCells count="36">
    <mergeCell ref="T42:U42"/>
    <mergeCell ref="B41:K41"/>
    <mergeCell ref="P41:S41"/>
    <mergeCell ref="P42:Q42"/>
    <mergeCell ref="R42:S42"/>
    <mergeCell ref="M44:N44"/>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9" r:id="rId5" name="Button 33">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10" r:id="rId6" name="Button 34">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11" r:id="rId7" name="Button 35">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1096" t="str">
        <f>+'Plant Overview'!E6&amp;": Input to SSM"</f>
        <v>GSR-H₂ : Input to SSM</v>
      </c>
      <c r="C2" s="1097"/>
      <c r="D2" s="1097"/>
      <c r="E2" s="1097"/>
      <c r="F2" s="1097"/>
      <c r="G2" s="1097"/>
      <c r="H2" s="1097"/>
      <c r="I2" s="1097"/>
      <c r="J2" s="1097"/>
      <c r="K2" s="1098"/>
    </row>
    <row r="4" spans="2:14" ht="17.399999999999999" customHeight="1" x14ac:dyDescent="0.3">
      <c r="B4" s="995" t="s">
        <v>462</v>
      </c>
      <c r="C4" s="996" t="s">
        <v>665</v>
      </c>
      <c r="D4" s="997" t="s">
        <v>235</v>
      </c>
      <c r="F4" s="1281" t="str">
        <f>+'Plant Overview'!D5</f>
        <v>Cost Estimate Details</v>
      </c>
      <c r="G4" s="1282"/>
      <c r="I4" s="1283" t="s">
        <v>496</v>
      </c>
      <c r="J4" s="1284"/>
      <c r="K4" s="998"/>
    </row>
    <row r="5" spans="2:14" ht="17.399999999999999" customHeight="1" x14ac:dyDescent="0.3">
      <c r="B5" s="992" t="str">
        <f>+'Plant Overview'!D26</f>
        <v>η H₂</v>
      </c>
      <c r="C5" s="999">
        <f>+'Plant Overview'!E26</f>
        <v>0.88778915614756715</v>
      </c>
      <c r="D5" s="992" t="s">
        <v>1056</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85" t="s">
        <v>1076</v>
      </c>
      <c r="J6" s="259" t="s">
        <v>578</v>
      </c>
      <c r="K6" s="260" t="s">
        <v>579</v>
      </c>
      <c r="N6" s="1272"/>
    </row>
    <row r="7" spans="2:14" ht="17.399999999999999" customHeight="1" x14ac:dyDescent="0.3">
      <c r="B7" s="992" t="str">
        <f>+'Plant Overview'!D44</f>
        <v>CC</v>
      </c>
      <c r="C7" s="1010">
        <f>+'Plant Overview'!E44</f>
        <v>0.94563882051171866</v>
      </c>
      <c r="D7" s="992" t="s">
        <v>457</v>
      </c>
      <c r="F7" s="445" t="str">
        <f>+'Plant Overview'!D9</f>
        <v xml:space="preserve"> Currency</v>
      </c>
      <c r="G7" s="445" t="str">
        <f>+'Plant Overview'!E9</f>
        <v>€</v>
      </c>
      <c r="I7" s="1286"/>
      <c r="J7" s="86"/>
      <c r="K7" s="86"/>
      <c r="N7" s="1272"/>
    </row>
    <row r="8" spans="2:14" ht="17.399999999999999" customHeight="1" x14ac:dyDescent="0.3">
      <c r="B8" s="992" t="s">
        <v>438</v>
      </c>
      <c r="C8" s="196">
        <f>+'Plant CAPEX'!K13*10^6/('Plant Overview'!I32*'Plant Overview'!I59)</f>
        <v>812.24488194618505</v>
      </c>
      <c r="D8" s="993" t="s">
        <v>1057</v>
      </c>
      <c r="I8" s="1002"/>
    </row>
    <row r="9" spans="2:14" ht="17.399999999999999" customHeight="1" x14ac:dyDescent="0.3">
      <c r="B9" s="992" t="s">
        <v>458</v>
      </c>
      <c r="C9" s="1003">
        <f>+('Plant OPEX'!G19-'Plant OPEX'!G18)*10^6/('Plant Overview'!I32*'Plant Overview'!I59)/'Input to SSM'!C8</f>
        <v>3.7901048766325891E-2</v>
      </c>
      <c r="D9" s="992" t="s">
        <v>1058</v>
      </c>
      <c r="F9" s="1039" t="s">
        <v>580</v>
      </c>
      <c r="G9" s="1040"/>
      <c r="H9" s="1040"/>
      <c r="I9" s="1040"/>
      <c r="J9" s="1040"/>
      <c r="K9" s="1041"/>
    </row>
    <row r="10" spans="2:14" ht="17.399999999999999" customHeight="1" x14ac:dyDescent="0.3">
      <c r="B10" s="992" t="s">
        <v>459</v>
      </c>
      <c r="C10" s="1004">
        <f>+('Plant OPEX'!U25-'Plant OPEX'!U17-'Plant OPEX'!U16)*10^6/('Plant Overview'!I32*'Plant Overview'!I59/1000*'Plant OPEX'!Q10)</f>
        <v>3.2149582624131106</v>
      </c>
      <c r="D10" s="993" t="s">
        <v>1088</v>
      </c>
      <c r="F10" s="1042" t="s">
        <v>1077</v>
      </c>
      <c r="G10" s="1273"/>
      <c r="H10" s="1273"/>
      <c r="I10" s="1273"/>
      <c r="J10" s="1273"/>
      <c r="K10" s="1274"/>
    </row>
    <row r="11" spans="2:14" ht="17.399999999999999" customHeight="1" x14ac:dyDescent="0.3">
      <c r="F11" s="1275"/>
      <c r="G11" s="1276"/>
      <c r="H11" s="1276"/>
      <c r="I11" s="1276"/>
      <c r="J11" s="1276"/>
      <c r="K11" s="1277"/>
    </row>
    <row r="12" spans="2:14" ht="17.399999999999999" customHeight="1" x14ac:dyDescent="0.3">
      <c r="F12" s="1278"/>
      <c r="G12" s="1279"/>
      <c r="H12" s="1279"/>
      <c r="I12" s="1279"/>
      <c r="J12" s="1279"/>
      <c r="K12" s="128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649</v>
      </c>
      <c r="C2" s="207"/>
      <c r="D2" s="207"/>
      <c r="E2" s="207"/>
      <c r="F2" s="207"/>
      <c r="G2" s="207"/>
      <c r="H2" s="207"/>
      <c r="I2" s="207"/>
      <c r="J2" s="207"/>
      <c r="K2" s="207"/>
      <c r="L2" s="209"/>
      <c r="M2" s="209"/>
      <c r="O2" s="1287" t="s">
        <v>500</v>
      </c>
      <c r="P2" s="1288"/>
      <c r="Q2" s="1288"/>
      <c r="R2" s="1289"/>
      <c r="T2" s="1287" t="s">
        <v>267</v>
      </c>
      <c r="U2" s="1289"/>
    </row>
    <row r="3" spans="2:37" ht="19.95" customHeight="1" x14ac:dyDescent="0.3">
      <c r="B3" s="1290" t="s">
        <v>1054</v>
      </c>
      <c r="C3" s="1290"/>
      <c r="D3" s="1290"/>
      <c r="E3" s="1291"/>
      <c r="F3" s="1291"/>
      <c r="G3" s="1291"/>
      <c r="H3" s="1291"/>
      <c r="I3" s="1291"/>
      <c r="J3" s="1291"/>
      <c r="K3" s="207"/>
      <c r="L3" s="1292" t="s">
        <v>654</v>
      </c>
      <c r="M3" s="1293"/>
      <c r="N3" s="207"/>
      <c r="O3" s="471"/>
      <c r="P3" s="379"/>
      <c r="Q3" s="214" t="s">
        <v>470</v>
      </c>
      <c r="R3" s="215" t="s">
        <v>504</v>
      </c>
      <c r="T3" s="85"/>
      <c r="U3" s="395" t="s">
        <v>262</v>
      </c>
    </row>
    <row r="4" spans="2:37" ht="19.95" customHeight="1" x14ac:dyDescent="0.3">
      <c r="B4" s="425" t="s">
        <v>496</v>
      </c>
      <c r="C4" s="547" t="s">
        <v>686</v>
      </c>
      <c r="D4" s="588" t="s">
        <v>1052</v>
      </c>
      <c r="E4" s="464"/>
      <c r="F4" s="429"/>
      <c r="G4" s="429"/>
      <c r="H4" s="429"/>
      <c r="I4" s="429"/>
      <c r="J4" s="430"/>
      <c r="K4" s="413"/>
      <c r="L4" s="427" t="s">
        <v>578</v>
      </c>
      <c r="M4" s="426"/>
      <c r="N4" s="413"/>
      <c r="O4" s="437"/>
      <c r="P4" s="391"/>
      <c r="Q4" s="189" t="s">
        <v>471</v>
      </c>
      <c r="R4" s="380" t="s">
        <v>505</v>
      </c>
      <c r="T4" s="208"/>
      <c r="U4" s="395" t="s">
        <v>263</v>
      </c>
    </row>
    <row r="5" spans="2:37" ht="19.95" customHeight="1" x14ac:dyDescent="0.3">
      <c r="B5" s="1140"/>
      <c r="C5" s="540" t="s">
        <v>360</v>
      </c>
      <c r="D5" s="588" t="s">
        <v>1051</v>
      </c>
      <c r="E5" s="465"/>
      <c r="F5" s="418"/>
      <c r="G5" s="418"/>
      <c r="H5" s="418"/>
      <c r="I5" s="418"/>
      <c r="J5" s="431"/>
      <c r="K5" s="413"/>
      <c r="L5" s="428" t="s">
        <v>579</v>
      </c>
      <c r="M5" s="426"/>
      <c r="N5" s="413"/>
      <c r="O5" s="437"/>
      <c r="P5" s="391"/>
      <c r="Q5" s="214" t="s">
        <v>465</v>
      </c>
      <c r="R5" s="215" t="s">
        <v>503</v>
      </c>
      <c r="T5" s="95"/>
      <c r="U5" s="473" t="s">
        <v>264</v>
      </c>
    </row>
    <row r="6" spans="2:37" ht="19.95" customHeight="1" x14ac:dyDescent="0.3">
      <c r="B6" s="1294"/>
      <c r="C6" s="547" t="s">
        <v>589</v>
      </c>
      <c r="D6" s="588" t="s">
        <v>1023</v>
      </c>
      <c r="E6" s="465"/>
      <c r="F6" s="418"/>
      <c r="G6" s="418"/>
      <c r="H6" s="418"/>
      <c r="I6" s="418"/>
      <c r="J6" s="431"/>
      <c r="K6" s="413"/>
      <c r="L6" s="413"/>
      <c r="M6" s="413"/>
      <c r="N6" s="413"/>
      <c r="O6" s="437"/>
      <c r="P6" s="391"/>
      <c r="Q6" s="214" t="s">
        <v>466</v>
      </c>
      <c r="R6" s="215" t="s">
        <v>501</v>
      </c>
      <c r="T6" s="110"/>
      <c r="U6" s="477" t="s">
        <v>268</v>
      </c>
    </row>
    <row r="7" spans="2:37" ht="19.95" customHeight="1" x14ac:dyDescent="0.3">
      <c r="B7" s="1141"/>
      <c r="C7" s="587" t="s">
        <v>312</v>
      </c>
      <c r="D7" s="588" t="s">
        <v>435</v>
      </c>
      <c r="E7" s="466"/>
      <c r="F7" s="432"/>
      <c r="G7" s="432"/>
      <c r="H7" s="432"/>
      <c r="I7" s="432"/>
      <c r="J7" s="433"/>
      <c r="K7" s="413"/>
      <c r="L7" s="413"/>
      <c r="M7" s="413"/>
      <c r="N7" s="413"/>
      <c r="O7" s="472"/>
      <c r="P7" s="473"/>
      <c r="Q7" s="214" t="s">
        <v>467</v>
      </c>
      <c r="R7" s="215" t="s">
        <v>502</v>
      </c>
    </row>
    <row r="8" spans="2:37" ht="19.95" customHeight="1" x14ac:dyDescent="0.3">
      <c r="B8" s="468">
        <v>1</v>
      </c>
      <c r="Q8" s="180"/>
      <c r="R8" s="180"/>
      <c r="S8" s="415"/>
      <c r="T8" s="414"/>
      <c r="AI8" s="92"/>
      <c r="AJ8" s="92"/>
      <c r="AK8" s="92"/>
    </row>
    <row r="9" spans="2:37" ht="19.95" customHeight="1" x14ac:dyDescent="0.3">
      <c r="B9" s="189" t="s">
        <v>653</v>
      </c>
      <c r="C9" s="1287"/>
      <c r="D9" s="1288"/>
      <c r="E9" s="1288"/>
      <c r="F9" s="1288"/>
      <c r="G9" s="1288"/>
      <c r="H9" s="1288"/>
      <c r="I9" s="1288"/>
      <c r="J9" s="1288"/>
      <c r="K9" s="1288"/>
      <c r="L9" s="1288"/>
      <c r="M9" s="1288"/>
      <c r="N9" s="1288"/>
      <c r="O9" s="1288"/>
      <c r="P9" s="1288"/>
      <c r="Q9" s="1288"/>
      <c r="R9" s="1288"/>
      <c r="S9" s="1288"/>
      <c r="T9" s="1288"/>
      <c r="U9" s="1289"/>
    </row>
    <row r="10" spans="2:37" ht="19.95" customHeight="1" x14ac:dyDescent="0.3">
      <c r="B10" s="1102" t="s">
        <v>683</v>
      </c>
      <c r="C10" s="1103"/>
      <c r="D10" s="1103"/>
      <c r="E10" s="1103"/>
      <c r="F10" s="1103"/>
      <c r="G10" s="1103"/>
      <c r="H10" s="1103"/>
      <c r="I10" s="1104"/>
      <c r="J10" s="1102" t="s">
        <v>684</v>
      </c>
      <c r="K10" s="1103"/>
      <c r="L10" s="1103"/>
      <c r="M10" s="1103"/>
      <c r="N10" s="1103"/>
      <c r="O10" s="1103"/>
      <c r="P10" s="1103"/>
      <c r="Q10" s="1103"/>
      <c r="R10" s="1104"/>
      <c r="S10" s="1102" t="s">
        <v>644</v>
      </c>
      <c r="T10" s="1103"/>
      <c r="U10" s="1104"/>
    </row>
    <row r="11" spans="2:37" ht="19.95" customHeight="1" x14ac:dyDescent="0.3">
      <c r="B11" s="547" t="s">
        <v>356</v>
      </c>
      <c r="C11" s="524" t="s">
        <v>646</v>
      </c>
      <c r="D11" s="547" t="s">
        <v>498</v>
      </c>
      <c r="E11" s="553" t="s">
        <v>464</v>
      </c>
      <c r="F11" s="553" t="s">
        <v>315</v>
      </c>
      <c r="G11" s="553" t="s">
        <v>509</v>
      </c>
      <c r="H11" s="547" t="s">
        <v>506</v>
      </c>
      <c r="I11" s="539" t="s">
        <v>235</v>
      </c>
      <c r="J11" s="538" t="s">
        <v>466</v>
      </c>
      <c r="K11" s="538" t="s">
        <v>467</v>
      </c>
      <c r="L11" s="545" t="s">
        <v>586</v>
      </c>
      <c r="M11" s="546" t="s">
        <v>469</v>
      </c>
      <c r="N11" s="542" t="s">
        <v>468</v>
      </c>
      <c r="O11" s="632" t="s">
        <v>650</v>
      </c>
      <c r="P11" s="632" t="s">
        <v>651</v>
      </c>
      <c r="Q11" s="546" t="s">
        <v>465</v>
      </c>
      <c r="R11" s="543" t="s">
        <v>639</v>
      </c>
      <c r="S11" s="632" t="s">
        <v>647</v>
      </c>
      <c r="T11" s="547" t="s">
        <v>360</v>
      </c>
      <c r="U11" s="586" t="s">
        <v>580</v>
      </c>
    </row>
    <row r="12" spans="2:37" ht="19.95" customHeight="1" x14ac:dyDescent="0.3">
      <c r="B12" s="966" t="s">
        <v>1047</v>
      </c>
      <c r="C12" s="967" t="s">
        <v>1048</v>
      </c>
      <c r="D12" s="967"/>
      <c r="E12" s="967" t="s">
        <v>456</v>
      </c>
      <c r="F12" s="967">
        <v>2020</v>
      </c>
      <c r="G12" s="967" t="s">
        <v>488</v>
      </c>
      <c r="H12" s="967" t="s">
        <v>816</v>
      </c>
      <c r="I12" s="967" t="s">
        <v>878</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95" customHeight="1" x14ac:dyDescent="0.3">
      <c r="B13" s="961" t="s">
        <v>877</v>
      </c>
      <c r="C13" s="889" t="s">
        <v>359</v>
      </c>
      <c r="D13" s="889" t="s">
        <v>877</v>
      </c>
      <c r="E13" s="889" t="s">
        <v>456</v>
      </c>
      <c r="F13" s="889">
        <v>2014</v>
      </c>
      <c r="G13" s="889" t="s">
        <v>488</v>
      </c>
      <c r="H13" s="167" t="s">
        <v>816</v>
      </c>
      <c r="I13" s="167" t="s">
        <v>878</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1040</v>
      </c>
      <c r="U13" s="962" t="s">
        <v>1053</v>
      </c>
    </row>
    <row r="14" spans="2:37" ht="19.95" customHeight="1" x14ac:dyDescent="0.3">
      <c r="B14" s="961" t="s">
        <v>1040</v>
      </c>
      <c r="C14" s="889" t="s">
        <v>359</v>
      </c>
      <c r="D14" s="889" t="s">
        <v>1040</v>
      </c>
      <c r="E14" s="889" t="s">
        <v>456</v>
      </c>
      <c r="F14" s="889">
        <v>2007</v>
      </c>
      <c r="G14" s="889" t="s">
        <v>488</v>
      </c>
      <c r="H14" s="889" t="s">
        <v>816</v>
      </c>
      <c r="I14" s="889" t="s">
        <v>878</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877</v>
      </c>
      <c r="U14" s="962" t="s">
        <v>1053</v>
      </c>
    </row>
    <row r="15" spans="2:37" ht="19.95"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95"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95"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95"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95"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95"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95" customHeight="1" x14ac:dyDescent="0.3">
      <c r="B21" s="437"/>
      <c r="C21" s="476"/>
      <c r="D21" s="476"/>
      <c r="E21" s="476"/>
      <c r="F21" s="476"/>
      <c r="G21" s="476"/>
      <c r="H21" s="476"/>
      <c r="I21" s="476"/>
      <c r="J21" s="1204" t="str">
        <f>TEXT(C9,0)</f>
        <v>0</v>
      </c>
      <c r="K21" s="1205"/>
      <c r="L21" s="1205"/>
      <c r="M21" s="1205"/>
      <c r="N21" s="1205"/>
      <c r="O21" s="1205"/>
      <c r="P21" s="1205"/>
      <c r="Q21" s="1205"/>
      <c r="R21" s="1205"/>
      <c r="S21" s="1205"/>
      <c r="T21" s="1206"/>
      <c r="U21" s="84"/>
    </row>
    <row r="22" spans="2:21" ht="19.95" customHeight="1" x14ac:dyDescent="0.3">
      <c r="B22" s="437"/>
      <c r="C22" s="476"/>
      <c r="D22" s="476"/>
      <c r="E22" s="476"/>
      <c r="F22" s="476"/>
      <c r="G22" s="476"/>
      <c r="H22" s="476"/>
      <c r="I22" s="476"/>
      <c r="J22" s="419" t="s">
        <v>648</v>
      </c>
      <c r="K22" s="420">
        <v>1</v>
      </c>
      <c r="L22" s="420">
        <v>2</v>
      </c>
      <c r="M22" s="420">
        <v>3</v>
      </c>
      <c r="N22" s="420">
        <v>4</v>
      </c>
      <c r="O22" s="420">
        <v>5</v>
      </c>
      <c r="P22" s="420">
        <v>6</v>
      </c>
      <c r="Q22" s="420">
        <v>7</v>
      </c>
      <c r="R22" s="420">
        <v>8</v>
      </c>
      <c r="S22" s="420">
        <v>9</v>
      </c>
      <c r="T22" s="421">
        <v>10</v>
      </c>
      <c r="U22" s="84"/>
    </row>
    <row r="23" spans="2:21" ht="19.95"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95"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95"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95"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95"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95"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95"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95" customHeight="1" x14ac:dyDescent="0.3">
      <c r="B30" s="437"/>
      <c r="C30" s="476"/>
      <c r="D30" s="476"/>
      <c r="E30" s="476"/>
      <c r="F30" s="476"/>
      <c r="G30" s="476"/>
      <c r="H30" s="476"/>
      <c r="I30" s="476"/>
      <c r="J30" s="495" t="s">
        <v>576</v>
      </c>
      <c r="K30" s="495" t="s">
        <v>652</v>
      </c>
      <c r="L30" s="254"/>
      <c r="M30" s="254"/>
      <c r="N30" s="254"/>
      <c r="O30" s="254"/>
      <c r="P30" s="254"/>
      <c r="Q30" s="254"/>
      <c r="R30" s="254"/>
      <c r="S30" s="254"/>
      <c r="T30" s="494"/>
      <c r="U30" s="84"/>
    </row>
    <row r="31" spans="2:21" ht="19.95"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95"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95"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95"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95"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95"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95"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95" customHeight="1" x14ac:dyDescent="0.3">
      <c r="B38" s="91"/>
      <c r="C38" s="92"/>
      <c r="D38" s="92"/>
      <c r="E38" s="92"/>
      <c r="F38" s="476"/>
      <c r="G38" s="476"/>
      <c r="H38" s="92"/>
      <c r="I38" s="92"/>
      <c r="J38" s="92"/>
      <c r="K38" s="92"/>
      <c r="L38" s="92"/>
      <c r="M38" s="92"/>
      <c r="N38" s="92"/>
      <c r="O38" s="92"/>
      <c r="P38" s="92"/>
      <c r="Q38" s="92"/>
      <c r="R38" s="92"/>
      <c r="S38" s="92"/>
      <c r="T38" s="92"/>
      <c r="U38" s="84"/>
    </row>
    <row r="39" spans="2:21" ht="19.95" customHeight="1" x14ac:dyDescent="0.3">
      <c r="B39" s="91"/>
      <c r="C39" s="92"/>
      <c r="D39" s="92"/>
      <c r="E39" s="92"/>
      <c r="F39" s="476"/>
      <c r="G39" s="476"/>
      <c r="H39" s="92"/>
      <c r="I39" s="92"/>
      <c r="J39" s="92"/>
      <c r="K39" s="92"/>
      <c r="L39" s="92"/>
      <c r="M39" s="92"/>
      <c r="N39" s="92"/>
      <c r="O39" s="92"/>
      <c r="P39" s="92"/>
      <c r="Q39" s="92"/>
      <c r="R39" s="92"/>
      <c r="S39" s="92"/>
      <c r="T39" s="92"/>
      <c r="U39" s="84"/>
    </row>
    <row r="40" spans="2:21" ht="19.95" customHeight="1" x14ac:dyDescent="0.3">
      <c r="B40" s="91"/>
      <c r="C40" s="92"/>
      <c r="D40" s="92"/>
      <c r="E40" s="92"/>
      <c r="F40" s="476"/>
      <c r="G40" s="476"/>
      <c r="H40" s="92"/>
      <c r="I40" s="92"/>
      <c r="J40" s="92"/>
      <c r="K40" s="92"/>
      <c r="L40" s="92"/>
      <c r="M40" s="92"/>
      <c r="N40" s="92"/>
      <c r="O40" s="92"/>
      <c r="P40" s="92"/>
      <c r="Q40" s="92"/>
      <c r="R40" s="92"/>
      <c r="S40" s="92"/>
      <c r="T40" s="92"/>
      <c r="U40" s="84"/>
    </row>
    <row r="41" spans="2:21" ht="19.95" customHeight="1" x14ac:dyDescent="0.3">
      <c r="B41" s="91"/>
      <c r="C41" s="92"/>
      <c r="D41" s="92"/>
      <c r="E41" s="92"/>
      <c r="F41" s="476"/>
      <c r="G41" s="476"/>
      <c r="H41" s="92"/>
      <c r="I41" s="92"/>
      <c r="J41" s="92"/>
      <c r="K41" s="92"/>
      <c r="L41" s="92"/>
      <c r="M41" s="92"/>
      <c r="N41" s="92"/>
      <c r="O41" s="92"/>
      <c r="P41" s="92"/>
      <c r="Q41" s="92"/>
      <c r="R41" s="92"/>
      <c r="S41" s="92"/>
      <c r="T41" s="92"/>
      <c r="U41" s="84"/>
    </row>
    <row r="42" spans="2:21" ht="19.95" customHeight="1" x14ac:dyDescent="0.3">
      <c r="B42" s="91"/>
      <c r="C42" s="92"/>
      <c r="D42" s="92"/>
      <c r="E42" s="92"/>
      <c r="F42" s="476"/>
      <c r="G42" s="476"/>
      <c r="H42" s="92"/>
      <c r="I42" s="92"/>
      <c r="J42" s="92"/>
      <c r="K42" s="92"/>
      <c r="L42" s="92"/>
      <c r="M42" s="92"/>
      <c r="N42" s="92"/>
      <c r="O42" s="92"/>
      <c r="P42" s="92"/>
      <c r="Q42" s="92"/>
      <c r="R42" s="92"/>
      <c r="S42" s="92"/>
      <c r="T42" s="92"/>
      <c r="U42" s="84"/>
    </row>
    <row r="43" spans="2:21" ht="19.95"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 x14ac:dyDescent="0.3">
      <c r="A3" s="83"/>
      <c r="B3" s="104"/>
      <c r="C3" s="1102" t="s">
        <v>270</v>
      </c>
      <c r="D3" s="1103"/>
      <c r="E3" s="1103"/>
      <c r="F3" s="1103"/>
      <c r="G3" s="1103"/>
      <c r="H3" s="1290" t="s">
        <v>229</v>
      </c>
      <c r="I3" s="1290"/>
      <c r="J3" s="105"/>
      <c r="K3" s="1102" t="s">
        <v>268</v>
      </c>
      <c r="L3" s="1103"/>
      <c r="M3" s="1103"/>
      <c r="N3" s="1103"/>
      <c r="O3" s="1103"/>
      <c r="P3" s="1103"/>
      <c r="Q3" s="1103"/>
      <c r="R3" s="1103"/>
      <c r="S3" s="1104"/>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307"/>
      <c r="L4" s="1307"/>
      <c r="M4" s="1307"/>
      <c r="N4" s="1307"/>
      <c r="O4" s="1307"/>
      <c r="P4" s="1307"/>
      <c r="Q4" s="1307"/>
      <c r="R4" s="1307"/>
      <c r="S4" s="1307"/>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308" t="s">
        <v>694</v>
      </c>
      <c r="E5" s="1309"/>
      <c r="F5" s="105"/>
      <c r="G5" s="105"/>
      <c r="H5" s="1308" t="s">
        <v>267</v>
      </c>
      <c r="I5" s="1309"/>
      <c r="J5" s="105"/>
      <c r="K5" s="1310" t="s">
        <v>709</v>
      </c>
      <c r="L5" s="1311"/>
      <c r="M5" s="1311"/>
      <c r="N5" s="1311"/>
      <c r="O5" s="1311"/>
      <c r="P5" s="1311"/>
      <c r="Q5" s="1311"/>
      <c r="R5" s="1311"/>
      <c r="S5" s="1312"/>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1140" t="s">
        <v>496</v>
      </c>
      <c r="D6" s="638" t="s">
        <v>708</v>
      </c>
      <c r="E6" s="649" t="s">
        <v>693</v>
      </c>
      <c r="F6" s="105"/>
      <c r="G6" s="105"/>
      <c r="H6" s="85"/>
      <c r="I6" s="114" t="s">
        <v>262</v>
      </c>
      <c r="J6" s="105"/>
      <c r="K6" s="1313"/>
      <c r="L6" s="1314"/>
      <c r="M6" s="1314"/>
      <c r="N6" s="1314"/>
      <c r="O6" s="1314"/>
      <c r="P6" s="1314"/>
      <c r="Q6" s="1314"/>
      <c r="R6" s="1314"/>
      <c r="S6" s="1315"/>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1141"/>
      <c r="D7" s="91"/>
      <c r="E7" s="646"/>
      <c r="F7" s="105"/>
      <c r="G7" s="105"/>
      <c r="H7" s="96"/>
      <c r="I7" s="114" t="s">
        <v>263</v>
      </c>
      <c r="J7" s="105"/>
      <c r="K7" s="1313"/>
      <c r="L7" s="1314"/>
      <c r="M7" s="1314"/>
      <c r="N7" s="1314"/>
      <c r="O7" s="1314"/>
      <c r="P7" s="1314"/>
      <c r="Q7" s="1314"/>
      <c r="R7" s="1314"/>
      <c r="S7" s="1315"/>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1119"/>
      <c r="D8" s="645"/>
      <c r="E8" s="646"/>
      <c r="F8" s="105"/>
      <c r="G8" s="105"/>
      <c r="H8" s="95"/>
      <c r="I8" s="115" t="s">
        <v>264</v>
      </c>
      <c r="J8" s="105"/>
      <c r="K8" s="1313"/>
      <c r="L8" s="1314"/>
      <c r="M8" s="1314"/>
      <c r="N8" s="1314"/>
      <c r="O8" s="1314"/>
      <c r="P8" s="1314"/>
      <c r="Q8" s="1314"/>
      <c r="R8" s="1314"/>
      <c r="S8" s="1315"/>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295" t="s">
        <v>669</v>
      </c>
      <c r="CI8" s="1296"/>
      <c r="CJ8" s="1296"/>
      <c r="CK8" s="1296"/>
      <c r="CL8" s="1296"/>
      <c r="CM8" s="1297"/>
      <c r="CN8" s="83"/>
      <c r="CO8" s="83"/>
    </row>
    <row r="9" spans="1:93" ht="15.6" x14ac:dyDescent="0.3">
      <c r="A9" s="83"/>
      <c r="B9" s="104"/>
      <c r="C9" s="1120"/>
      <c r="D9" s="647"/>
      <c r="E9" s="648"/>
      <c r="F9" s="105"/>
      <c r="G9" s="105"/>
      <c r="H9" s="110"/>
      <c r="I9" s="111" t="s">
        <v>268</v>
      </c>
      <c r="J9" s="105"/>
      <c r="K9" s="1316"/>
      <c r="L9" s="1317"/>
      <c r="M9" s="1317"/>
      <c r="N9" s="1317"/>
      <c r="O9" s="1317"/>
      <c r="P9" s="1317"/>
      <c r="Q9" s="1317"/>
      <c r="R9" s="1317"/>
      <c r="S9" s="1318"/>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298"/>
      <c r="CI9" s="1299"/>
      <c r="CJ9" s="1299"/>
      <c r="CK9" s="1299"/>
      <c r="CL9" s="1299"/>
      <c r="CM9" s="1300"/>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1102" t="s">
        <v>511</v>
      </c>
      <c r="E11" s="1103"/>
      <c r="F11" s="1103"/>
      <c r="G11" s="1103"/>
      <c r="H11" s="1103"/>
      <c r="I11" s="1103"/>
      <c r="J11" s="1103"/>
      <c r="K11" s="1103"/>
      <c r="L11" s="1104"/>
      <c r="M11" s="1102" t="s">
        <v>512</v>
      </c>
      <c r="N11" s="1103"/>
      <c r="O11" s="1103"/>
      <c r="P11" s="1103"/>
      <c r="Q11" s="1104"/>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300" t="s">
        <v>229</v>
      </c>
      <c r="E12" s="300" t="s">
        <v>348</v>
      </c>
      <c r="F12" s="262" t="s">
        <v>234</v>
      </c>
      <c r="G12" s="262" t="s">
        <v>476</v>
      </c>
      <c r="H12" s="264" t="s">
        <v>235</v>
      </c>
      <c r="I12" s="300"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513</v>
      </c>
      <c r="E13" s="267" t="s">
        <v>7</v>
      </c>
      <c r="F13" s="294">
        <v>1</v>
      </c>
      <c r="G13" s="294" t="s">
        <v>354</v>
      </c>
      <c r="H13" s="294" t="s">
        <v>472</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513</v>
      </c>
      <c r="E14" s="267" t="s">
        <v>8</v>
      </c>
      <c r="F14" s="294">
        <v>1</v>
      </c>
      <c r="G14" s="294" t="s">
        <v>354</v>
      </c>
      <c r="H14" s="294" t="s">
        <v>472</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513</v>
      </c>
      <c r="E15" s="267" t="s">
        <v>514</v>
      </c>
      <c r="F15" s="294">
        <v>1</v>
      </c>
      <c r="G15" s="294" t="s">
        <v>354</v>
      </c>
      <c r="H15" s="294" t="s">
        <v>472</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474</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474</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514</v>
      </c>
      <c r="F22" s="294">
        <v>1</v>
      </c>
      <c r="G22" s="294" t="s">
        <v>354</v>
      </c>
      <c r="H22" s="294" t="s">
        <v>474</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474</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518</v>
      </c>
      <c r="E28" s="267" t="s">
        <v>34</v>
      </c>
      <c r="F28" s="294">
        <v>1</v>
      </c>
      <c r="G28" s="294" t="s">
        <v>354</v>
      </c>
      <c r="H28" s="294" t="s">
        <v>472</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4">
        <v>1</v>
      </c>
      <c r="G29" s="294" t="s">
        <v>354</v>
      </c>
      <c r="H29" s="294" t="s">
        <v>474</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4">
        <v>1</v>
      </c>
      <c r="G30" s="294" t="s">
        <v>354</v>
      </c>
      <c r="H30" s="294" t="s">
        <v>474</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4">
        <v>1</v>
      </c>
      <c r="G31" s="294" t="s">
        <v>354</v>
      </c>
      <c r="H31" s="294" t="s">
        <v>474</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4">
        <v>1</v>
      </c>
      <c r="G32" s="294" t="s">
        <v>354</v>
      </c>
      <c r="H32" s="294" t="s">
        <v>474</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4">
        <v>1</v>
      </c>
      <c r="G33" s="294" t="s">
        <v>354</v>
      </c>
      <c r="H33" s="294" t="s">
        <v>474</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4">
        <v>1</v>
      </c>
      <c r="G34" s="294" t="s">
        <v>354</v>
      </c>
      <c r="H34" s="294" t="s">
        <v>474</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520</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474</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474</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474</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474</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524</v>
      </c>
      <c r="E55" s="267" t="s">
        <v>88</v>
      </c>
      <c r="F55" s="294">
        <v>1</v>
      </c>
      <c r="G55" s="294">
        <v>1</v>
      </c>
      <c r="H55" s="294" t="s">
        <v>474</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524</v>
      </c>
      <c r="E56" s="267" t="s">
        <v>525</v>
      </c>
      <c r="F56" s="294">
        <v>1</v>
      </c>
      <c r="G56" s="294">
        <v>1</v>
      </c>
      <c r="H56" s="294" t="s">
        <v>474</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524</v>
      </c>
      <c r="E57" s="267" t="s">
        <v>91</v>
      </c>
      <c r="F57" s="294">
        <v>1</v>
      </c>
      <c r="G57" s="294">
        <v>1</v>
      </c>
      <c r="H57" s="294" t="s">
        <v>474</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524</v>
      </c>
      <c r="E58" s="267" t="s">
        <v>98</v>
      </c>
      <c r="F58" s="294">
        <v>1</v>
      </c>
      <c r="G58" s="294">
        <v>1</v>
      </c>
      <c r="H58" s="294" t="s">
        <v>474</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524</v>
      </c>
      <c r="E59" s="267" t="s">
        <v>99</v>
      </c>
      <c r="F59" s="294">
        <v>1</v>
      </c>
      <c r="G59" s="294">
        <v>1</v>
      </c>
      <c r="H59" s="294" t="s">
        <v>474</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524</v>
      </c>
      <c r="E60" s="267" t="s">
        <v>100</v>
      </c>
      <c r="F60" s="294">
        <v>1</v>
      </c>
      <c r="G60" s="294">
        <v>1</v>
      </c>
      <c r="H60" s="294" t="s">
        <v>474</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524</v>
      </c>
      <c r="E61" s="267" t="s">
        <v>101</v>
      </c>
      <c r="F61" s="294">
        <v>1</v>
      </c>
      <c r="G61" s="294">
        <v>1</v>
      </c>
      <c r="H61" s="294" t="s">
        <v>474</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531</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531</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531</v>
      </c>
      <c r="J69" s="294" t="str">
        <f>+IF(F69&gt;'Equipment Data'!$L$126,"yes","No")</f>
        <v>No</v>
      </c>
      <c r="K69" s="294">
        <v>0.67</v>
      </c>
      <c r="L69" s="294"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531</v>
      </c>
      <c r="J70" s="294" t="str">
        <f>+IF(F70&gt;'Equipment Data'!$L$128,"yes","No")</f>
        <v>No</v>
      </c>
      <c r="K70" s="294">
        <v>0.67</v>
      </c>
      <c r="L70" s="294"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531</v>
      </c>
      <c r="J71" s="294" t="str">
        <f>+IF(F71&gt;'Equipment Data'!$L$130,"yes","No")</f>
        <v>No</v>
      </c>
      <c r="K71" s="294">
        <v>0.67</v>
      </c>
      <c r="L71" s="294"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531</v>
      </c>
      <c r="J72" s="294" t="str">
        <f>+IF(F72&gt;'Equipment Data'!$L$132,"yes","No")</f>
        <v>No</v>
      </c>
      <c r="K72" s="294">
        <v>0.67</v>
      </c>
      <c r="L72" s="294"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531</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531</v>
      </c>
      <c r="J76" s="294" t="str">
        <f>+IF(F76&gt;'Equipment Data'!$L$139,"yes","No")</f>
        <v>No</v>
      </c>
      <c r="K76" s="294">
        <v>0.67</v>
      </c>
      <c r="L76" s="294"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526</v>
      </c>
      <c r="E79" s="267" t="s">
        <v>146</v>
      </c>
      <c r="F79" s="294">
        <v>1</v>
      </c>
      <c r="G79" s="294" t="s">
        <v>354</v>
      </c>
      <c r="H79" s="294" t="s">
        <v>474</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4">
        <v>1</v>
      </c>
      <c r="G80" s="294" t="s">
        <v>354</v>
      </c>
      <c r="H80" s="294" t="s">
        <v>474</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4">
        <v>1</v>
      </c>
      <c r="G81" s="294" t="s">
        <v>354</v>
      </c>
      <c r="H81" s="294" t="s">
        <v>474</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474</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474</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474</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527</v>
      </c>
      <c r="E85" s="267" t="s">
        <v>161</v>
      </c>
      <c r="F85" s="294">
        <v>1</v>
      </c>
      <c r="G85" s="294" t="s">
        <v>354</v>
      </c>
      <c r="H85" s="294" t="s">
        <v>472</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4">
        <v>1</v>
      </c>
      <c r="G86" s="294" t="s">
        <v>354</v>
      </c>
      <c r="H86" s="294" t="s">
        <v>472</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4">
        <v>1</v>
      </c>
      <c r="G87" s="294" t="s">
        <v>354</v>
      </c>
      <c r="H87" s="294" t="s">
        <v>472</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4">
        <v>1</v>
      </c>
      <c r="G88" s="294" t="s">
        <v>354</v>
      </c>
      <c r="H88" s="294" t="s">
        <v>472</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4">
        <v>1</v>
      </c>
      <c r="G89" s="294" t="s">
        <v>354</v>
      </c>
      <c r="H89" s="294" t="s">
        <v>472</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4">
        <v>1</v>
      </c>
      <c r="G90" s="294" t="s">
        <v>354</v>
      </c>
      <c r="H90" s="294" t="s">
        <v>472</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528</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528</v>
      </c>
      <c r="E92" s="267" t="s">
        <v>514</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528</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528</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472</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472</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474</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474</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472</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472</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472</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472</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472</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536</v>
      </c>
      <c r="E107" s="267" t="s">
        <v>670</v>
      </c>
      <c r="F107" s="315">
        <v>1</v>
      </c>
      <c r="G107" s="315" t="s">
        <v>354</v>
      </c>
      <c r="H107" s="315" t="s">
        <v>472</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301"/>
      <c r="D108" s="1302"/>
      <c r="E108" s="1302"/>
      <c r="F108" s="1302"/>
      <c r="G108" s="1302"/>
      <c r="H108" s="1302"/>
      <c r="I108" s="1302"/>
      <c r="J108" s="1302"/>
      <c r="K108" s="1302"/>
      <c r="L108" s="1302"/>
      <c r="M108" s="1302"/>
      <c r="N108" s="1302"/>
      <c r="O108" s="1302"/>
      <c r="P108" s="1302"/>
      <c r="Q108" s="1302"/>
      <c r="R108" s="1303"/>
      <c r="S108" s="1304"/>
      <c r="T108" s="106"/>
      <c r="U108" s="105"/>
      <c r="V108" s="105"/>
      <c r="W108" s="83"/>
      <c r="X108" s="1"/>
      <c r="CI108" s="83"/>
      <c r="CJ108" s="83"/>
      <c r="CK108" s="83"/>
      <c r="CL108" s="83"/>
      <c r="CM108" s="83"/>
      <c r="CN108" s="83"/>
      <c r="CO108" s="83"/>
    </row>
    <row r="109" spans="1:93" ht="14.4" customHeight="1" x14ac:dyDescent="0.3">
      <c r="A109" s="83"/>
      <c r="B109" s="104"/>
      <c r="C109" s="1083"/>
      <c r="D109" s="1084"/>
      <c r="E109" s="1084"/>
      <c r="F109" s="1084"/>
      <c r="G109" s="1084"/>
      <c r="H109" s="1084"/>
      <c r="I109" s="1084"/>
      <c r="J109" s="1084"/>
      <c r="K109" s="1084"/>
      <c r="L109" s="1084"/>
      <c r="M109" s="1084"/>
      <c r="N109" s="1084"/>
      <c r="O109" s="1084"/>
      <c r="P109" s="1084"/>
      <c r="Q109" s="1084"/>
      <c r="R109" s="1085"/>
      <c r="S109" s="1305"/>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306"/>
      <c r="C112" s="1306"/>
      <c r="D112" s="1306"/>
      <c r="E112" s="1306"/>
      <c r="F112" s="1306"/>
      <c r="G112" s="1306"/>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102" t="s">
        <v>358</v>
      </c>
      <c r="C2" s="1103"/>
      <c r="D2" s="1103"/>
      <c r="E2" s="1104"/>
      <c r="F2" s="92"/>
      <c r="G2" s="92"/>
      <c r="H2" s="92"/>
      <c r="I2" s="92"/>
      <c r="J2" s="92"/>
      <c r="K2" s="92"/>
      <c r="L2" s="92"/>
    </row>
    <row r="3" spans="2:12" ht="27" customHeight="1" x14ac:dyDescent="0.3">
      <c r="B3" s="547" t="s">
        <v>687</v>
      </c>
      <c r="C3" s="634" t="s">
        <v>360</v>
      </c>
      <c r="D3" s="635" t="s">
        <v>580</v>
      </c>
      <c r="E3" s="636" t="s">
        <v>688</v>
      </c>
      <c r="F3" s="92"/>
      <c r="G3" s="92"/>
      <c r="H3" s="92"/>
      <c r="I3" s="92"/>
      <c r="J3" s="92"/>
      <c r="K3" s="92"/>
      <c r="L3" s="92"/>
    </row>
    <row r="4" spans="2:12" ht="27" customHeight="1" x14ac:dyDescent="0.3">
      <c r="B4" s="956">
        <f>+'Unit-100 - NG Pre-treating'!AG49</f>
        <v>1</v>
      </c>
      <c r="C4" s="896" t="str">
        <f>+'Unit-100 - NG Pre-treating'!AH49</f>
        <v>Manzolini [1]</v>
      </c>
      <c r="D4" s="958" t="s">
        <v>987</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988</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1033</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989</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990</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1043</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991</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992</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1036</v>
      </c>
      <c r="E12" s="100" t="str">
        <f>+'Unit-700 - CWT'!I65</f>
        <v>CWT Cost</v>
      </c>
      <c r="G12" s="126"/>
      <c r="H12" s="126"/>
      <c r="I12" s="126"/>
      <c r="J12" s="126"/>
      <c r="K12" s="126"/>
      <c r="L12" s="92"/>
    </row>
    <row r="13" spans="2:12" ht="27" customHeight="1" x14ac:dyDescent="0.3">
      <c r="B13" s="633">
        <f>+'Plant OPEX'!S5</f>
        <v>10</v>
      </c>
      <c r="C13" s="896" t="str">
        <f>+'Plant OPEX'!T5</f>
        <v>Nazir [2]</v>
      </c>
      <c r="D13" s="920" t="s">
        <v>993</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1037</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490</v>
      </c>
      <c r="C2" s="187" t="s">
        <v>314</v>
      </c>
      <c r="D2" s="372" t="s">
        <v>491</v>
      </c>
      <c r="E2" s="83"/>
      <c r="F2" s="376" t="s">
        <v>477</v>
      </c>
      <c r="G2" s="364" t="s">
        <v>603</v>
      </c>
      <c r="H2" s="293" t="s">
        <v>492</v>
      </c>
      <c r="I2" s="83"/>
      <c r="J2" s="1198" t="s">
        <v>493</v>
      </c>
      <c r="K2" s="1200"/>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319" t="s">
        <v>611</v>
      </c>
      <c r="H24" s="1319"/>
      <c r="I24" s="1319"/>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320" t="s">
        <v>330</v>
      </c>
      <c r="C2" s="1321"/>
      <c r="D2" s="1321"/>
      <c r="E2" s="1321"/>
      <c r="F2" s="1322"/>
    </row>
    <row r="3" spans="2:11" x14ac:dyDescent="0.3">
      <c r="B3" s="97"/>
      <c r="J3" s="343"/>
      <c r="K3" s="86" t="s">
        <v>629</v>
      </c>
    </row>
    <row r="4" spans="2:11" x14ac:dyDescent="0.3">
      <c r="B4" s="97"/>
      <c r="J4" s="344"/>
      <c r="K4" s="86" t="s">
        <v>630</v>
      </c>
    </row>
    <row r="5" spans="2:11" ht="18" x14ac:dyDescent="0.3">
      <c r="B5" s="87" t="s">
        <v>342</v>
      </c>
      <c r="C5" s="131" t="s">
        <v>312</v>
      </c>
      <c r="D5" s="132" t="s">
        <v>350</v>
      </c>
      <c r="E5" s="132" t="s">
        <v>286</v>
      </c>
      <c r="F5" s="133" t="s">
        <v>376</v>
      </c>
      <c r="G5" s="134" t="s">
        <v>628</v>
      </c>
      <c r="H5" s="135" t="s">
        <v>627</v>
      </c>
    </row>
    <row r="6" spans="2:11" ht="15.6" x14ac:dyDescent="0.3">
      <c r="B6" s="1131">
        <v>1</v>
      </c>
      <c r="C6" s="1325" t="s">
        <v>313</v>
      </c>
      <c r="D6" s="136" t="s">
        <v>238</v>
      </c>
      <c r="E6" s="136"/>
      <c r="F6" s="137"/>
      <c r="G6" s="322"/>
      <c r="H6" s="326"/>
    </row>
    <row r="7" spans="2:11" ht="15.6" x14ac:dyDescent="0.3">
      <c r="B7" s="1328"/>
      <c r="C7" s="1326"/>
      <c r="D7" s="138"/>
      <c r="E7" s="138" t="s">
        <v>290</v>
      </c>
      <c r="F7" s="139" t="s">
        <v>288</v>
      </c>
      <c r="G7" s="318"/>
      <c r="H7" s="93"/>
    </row>
    <row r="8" spans="2:11" ht="15.6" x14ac:dyDescent="0.3">
      <c r="B8" s="1328"/>
      <c r="C8" s="1326"/>
      <c r="D8" s="138"/>
      <c r="E8" s="138"/>
      <c r="F8" s="139" t="s">
        <v>294</v>
      </c>
      <c r="G8" s="318"/>
      <c r="H8" s="100"/>
    </row>
    <row r="9" spans="2:11" ht="15.6" x14ac:dyDescent="0.3">
      <c r="B9" s="1328"/>
      <c r="C9" s="1326"/>
      <c r="D9" s="138"/>
      <c r="E9" s="138"/>
      <c r="F9" s="139" t="s">
        <v>287</v>
      </c>
      <c r="G9" s="318"/>
      <c r="H9" s="100"/>
    </row>
    <row r="10" spans="2:11" ht="15.6" x14ac:dyDescent="0.3">
      <c r="B10" s="1328"/>
      <c r="C10" s="1326"/>
      <c r="D10" s="138"/>
      <c r="E10" s="138"/>
      <c r="F10" s="139" t="s">
        <v>289</v>
      </c>
      <c r="G10" s="345"/>
      <c r="H10" s="100" t="s">
        <v>229</v>
      </c>
    </row>
    <row r="11" spans="2:11" ht="15.6" x14ac:dyDescent="0.3">
      <c r="B11" s="1328"/>
      <c r="C11" s="1326"/>
      <c r="D11" s="138"/>
      <c r="E11" s="138" t="s">
        <v>398</v>
      </c>
      <c r="F11" s="139"/>
      <c r="G11" s="318"/>
      <c r="H11" s="100"/>
    </row>
    <row r="12" spans="2:11" ht="15.6" x14ac:dyDescent="0.3">
      <c r="B12" s="1132"/>
      <c r="C12" s="1327"/>
      <c r="D12" s="140"/>
      <c r="E12" s="140" t="s">
        <v>291</v>
      </c>
      <c r="F12" s="146"/>
      <c r="G12" s="319"/>
      <c r="H12" s="327"/>
    </row>
    <row r="13" spans="2:11" ht="15.6" x14ac:dyDescent="0.3">
      <c r="B13" s="1328">
        <v>2</v>
      </c>
      <c r="C13" s="1325" t="s">
        <v>419</v>
      </c>
      <c r="D13" s="141" t="s">
        <v>285</v>
      </c>
      <c r="E13" s="141"/>
      <c r="F13" s="136" t="s">
        <v>295</v>
      </c>
      <c r="G13" s="323"/>
      <c r="H13" s="326"/>
    </row>
    <row r="14" spans="2:11" ht="15.6" x14ac:dyDescent="0.3">
      <c r="B14" s="1328"/>
      <c r="C14" s="1326"/>
      <c r="D14" s="142"/>
      <c r="E14" s="142" t="s">
        <v>292</v>
      </c>
      <c r="F14" s="138" t="s">
        <v>296</v>
      </c>
      <c r="G14" s="167"/>
      <c r="H14" s="100"/>
    </row>
    <row r="15" spans="2:11" ht="15.6" x14ac:dyDescent="0.3">
      <c r="B15" s="1328"/>
      <c r="C15" s="1326"/>
      <c r="D15" s="142"/>
      <c r="E15" s="142" t="s">
        <v>338</v>
      </c>
      <c r="F15" s="138" t="s">
        <v>323</v>
      </c>
      <c r="G15" s="346"/>
      <c r="H15" s="100"/>
    </row>
    <row r="16" spans="2:11" ht="15.6" x14ac:dyDescent="0.3">
      <c r="B16" s="1328"/>
      <c r="C16" s="1326"/>
      <c r="D16" s="142"/>
      <c r="E16" s="142" t="s">
        <v>293</v>
      </c>
      <c r="F16" s="138" t="s">
        <v>324</v>
      </c>
      <c r="G16" s="315"/>
      <c r="H16" s="100"/>
    </row>
    <row r="17" spans="2:8" ht="15.6" x14ac:dyDescent="0.3">
      <c r="B17" s="1328"/>
      <c r="C17" s="1326"/>
      <c r="D17" s="142"/>
      <c r="E17" s="142" t="s">
        <v>297</v>
      </c>
      <c r="F17" s="138" t="s">
        <v>336</v>
      </c>
      <c r="G17" s="315"/>
      <c r="H17" s="100"/>
    </row>
    <row r="18" spans="2:8" ht="15.6" x14ac:dyDescent="0.3">
      <c r="B18" s="1328"/>
      <c r="C18" s="1326"/>
      <c r="D18" s="142"/>
      <c r="E18" s="142" t="s">
        <v>335</v>
      </c>
      <c r="F18" s="138" t="s">
        <v>337</v>
      </c>
      <c r="G18" s="315"/>
      <c r="H18" s="100"/>
    </row>
    <row r="19" spans="2:8" ht="15.6" x14ac:dyDescent="0.3">
      <c r="B19" s="1328"/>
      <c r="C19" s="1326"/>
      <c r="D19" s="142"/>
      <c r="E19" s="142" t="s">
        <v>339</v>
      </c>
      <c r="F19" s="138" t="s">
        <v>345</v>
      </c>
      <c r="G19" s="315"/>
      <c r="H19" s="100"/>
    </row>
    <row r="20" spans="2:8" ht="15.6" x14ac:dyDescent="0.3">
      <c r="B20" s="1328"/>
      <c r="C20" s="1326"/>
      <c r="D20" s="142"/>
      <c r="E20" s="142"/>
      <c r="F20" s="138" t="s">
        <v>346</v>
      </c>
      <c r="G20" s="315"/>
      <c r="H20" s="100"/>
    </row>
    <row r="21" spans="2:8" ht="15.6" x14ac:dyDescent="0.3">
      <c r="B21" s="1328"/>
      <c r="C21" s="1326"/>
      <c r="D21" s="142"/>
      <c r="E21" s="142"/>
      <c r="F21" s="138" t="s">
        <v>347</v>
      </c>
      <c r="G21" s="315"/>
      <c r="H21" s="100"/>
    </row>
    <row r="22" spans="2:8" ht="15.6" x14ac:dyDescent="0.3">
      <c r="B22" s="1328"/>
      <c r="C22" s="1326"/>
      <c r="D22" s="142" t="s">
        <v>317</v>
      </c>
      <c r="E22" s="142"/>
      <c r="F22" s="138"/>
      <c r="G22" s="315"/>
      <c r="H22" s="100"/>
    </row>
    <row r="23" spans="2:8" ht="15.6" x14ac:dyDescent="0.3">
      <c r="B23" s="1328"/>
      <c r="C23" s="1326"/>
      <c r="D23" s="142"/>
      <c r="E23" s="142" t="s">
        <v>318</v>
      </c>
      <c r="F23" s="138"/>
      <c r="G23" s="315"/>
      <c r="H23" s="100"/>
    </row>
    <row r="24" spans="2:8" ht="15.6" x14ac:dyDescent="0.3">
      <c r="B24" s="1328"/>
      <c r="C24" s="1326"/>
      <c r="D24" s="142"/>
      <c r="E24" s="142" t="s">
        <v>319</v>
      </c>
      <c r="F24" s="138"/>
      <c r="G24" s="315"/>
      <c r="H24" s="100"/>
    </row>
    <row r="25" spans="2:8" ht="15.6" x14ac:dyDescent="0.3">
      <c r="B25" s="1328"/>
      <c r="C25" s="1326"/>
      <c r="D25" s="142"/>
      <c r="E25" s="142" t="s">
        <v>390</v>
      </c>
      <c r="F25" s="138" t="s">
        <v>391</v>
      </c>
      <c r="G25" s="315"/>
      <c r="H25" s="100"/>
    </row>
    <row r="26" spans="2:8" ht="15.6" x14ac:dyDescent="0.3">
      <c r="B26" s="1328"/>
      <c r="C26" s="1326"/>
      <c r="D26" s="142"/>
      <c r="E26" s="142"/>
      <c r="F26" s="138" t="s">
        <v>392</v>
      </c>
      <c r="G26" s="315"/>
      <c r="H26" s="100"/>
    </row>
    <row r="27" spans="2:8" ht="15.6" x14ac:dyDescent="0.3">
      <c r="B27" s="1132"/>
      <c r="C27" s="1327"/>
      <c r="D27" s="143"/>
      <c r="E27" s="143" t="s">
        <v>434</v>
      </c>
      <c r="F27" s="140"/>
      <c r="G27" s="320"/>
      <c r="H27" s="327"/>
    </row>
    <row r="28" spans="2:8" ht="15.6" x14ac:dyDescent="0.3">
      <c r="B28" s="1131">
        <v>3</v>
      </c>
      <c r="C28" s="1329" t="s">
        <v>316</v>
      </c>
      <c r="D28" s="136" t="s">
        <v>40</v>
      </c>
      <c r="E28" s="136"/>
      <c r="F28" s="137"/>
      <c r="G28" s="322"/>
      <c r="H28" s="326"/>
    </row>
    <row r="29" spans="2:8" ht="15.6" x14ac:dyDescent="0.3">
      <c r="B29" s="1328"/>
      <c r="C29" s="1323"/>
      <c r="D29" s="138"/>
      <c r="E29" s="138" t="s">
        <v>298</v>
      </c>
      <c r="F29" s="139" t="s">
        <v>301</v>
      </c>
      <c r="G29" s="318"/>
      <c r="H29" s="100"/>
    </row>
    <row r="30" spans="2:8" ht="15.6" x14ac:dyDescent="0.3">
      <c r="B30" s="1328"/>
      <c r="C30" s="1323"/>
      <c r="D30" s="138"/>
      <c r="E30" s="138" t="s">
        <v>299</v>
      </c>
      <c r="F30" s="139" t="s">
        <v>302</v>
      </c>
      <c r="G30" s="318"/>
      <c r="H30" s="100"/>
    </row>
    <row r="31" spans="2:8" ht="15.6" x14ac:dyDescent="0.3">
      <c r="B31" s="1328"/>
      <c r="C31" s="1323"/>
      <c r="D31" s="138"/>
      <c r="E31" s="138" t="s">
        <v>300</v>
      </c>
      <c r="F31" s="139" t="s">
        <v>303</v>
      </c>
      <c r="G31" s="318"/>
      <c r="H31" s="100"/>
    </row>
    <row r="32" spans="2:8" ht="15.6" x14ac:dyDescent="0.3">
      <c r="B32" s="1328"/>
      <c r="C32" s="1323"/>
      <c r="D32" s="138"/>
      <c r="E32" s="138" t="s">
        <v>363</v>
      </c>
      <c r="F32" s="139"/>
      <c r="G32" s="318"/>
      <c r="H32" s="100"/>
    </row>
    <row r="33" spans="2:8" ht="15.6" x14ac:dyDescent="0.3">
      <c r="B33" s="1328"/>
      <c r="C33" s="1323"/>
      <c r="D33" s="138" t="s">
        <v>405</v>
      </c>
      <c r="E33" s="138" t="s">
        <v>41</v>
      </c>
      <c r="F33" s="139"/>
      <c r="G33" s="318"/>
      <c r="H33" s="100"/>
    </row>
    <row r="34" spans="2:8" ht="15.6" x14ac:dyDescent="0.3">
      <c r="B34" s="1328"/>
      <c r="C34" s="1323"/>
      <c r="D34" s="138"/>
      <c r="E34" s="138" t="s">
        <v>331</v>
      </c>
      <c r="F34" s="139" t="s">
        <v>410</v>
      </c>
      <c r="G34" s="318"/>
      <c r="H34" s="100"/>
    </row>
    <row r="35" spans="2:8" ht="15.6" x14ac:dyDescent="0.3">
      <c r="B35" s="1328"/>
      <c r="C35" s="1323"/>
      <c r="D35" s="138"/>
      <c r="E35" s="138"/>
      <c r="F35" s="139" t="s">
        <v>411</v>
      </c>
      <c r="G35" s="318"/>
      <c r="H35" s="100"/>
    </row>
    <row r="36" spans="2:8" ht="15.6" x14ac:dyDescent="0.3">
      <c r="B36" s="1328"/>
      <c r="C36" s="1323"/>
      <c r="D36" s="138"/>
      <c r="E36" s="138" t="s">
        <v>406</v>
      </c>
      <c r="F36" s="139" t="s">
        <v>409</v>
      </c>
      <c r="G36" s="318"/>
      <c r="H36" s="100"/>
    </row>
    <row r="37" spans="2:8" ht="15.6" x14ac:dyDescent="0.3">
      <c r="B37" s="1328"/>
      <c r="C37" s="1323"/>
      <c r="D37" s="138" t="s">
        <v>414</v>
      </c>
      <c r="E37" s="138" t="s">
        <v>332</v>
      </c>
      <c r="F37" s="139"/>
      <c r="G37" s="318"/>
      <c r="H37" s="100"/>
    </row>
    <row r="38" spans="2:8" ht="15.6" x14ac:dyDescent="0.3">
      <c r="B38" s="1328"/>
      <c r="C38" s="1323"/>
      <c r="D38" s="138"/>
      <c r="E38" s="138" t="s">
        <v>349</v>
      </c>
      <c r="F38" s="139"/>
      <c r="G38" s="318"/>
      <c r="H38" s="100"/>
    </row>
    <row r="39" spans="2:8" ht="15.6" x14ac:dyDescent="0.3">
      <c r="B39" s="1328"/>
      <c r="C39" s="1323"/>
      <c r="D39" s="138" t="s">
        <v>408</v>
      </c>
      <c r="E39" s="138" t="s">
        <v>436</v>
      </c>
      <c r="F39" s="139"/>
      <c r="G39" s="318"/>
      <c r="H39" s="100"/>
    </row>
    <row r="40" spans="2:8" ht="15.6" x14ac:dyDescent="0.3">
      <c r="B40" s="1328"/>
      <c r="C40" s="1323"/>
      <c r="D40" s="138" t="s">
        <v>437</v>
      </c>
      <c r="E40" s="138"/>
      <c r="F40" s="139"/>
      <c r="G40" s="318"/>
      <c r="H40" s="100"/>
    </row>
    <row r="41" spans="2:8" ht="15.6" x14ac:dyDescent="0.3">
      <c r="B41" s="1328"/>
      <c r="C41" s="1323"/>
      <c r="D41" s="138"/>
      <c r="E41" s="138" t="s">
        <v>404</v>
      </c>
      <c r="F41" s="139"/>
      <c r="G41" s="318"/>
      <c r="H41" s="100"/>
    </row>
    <row r="42" spans="2:8" ht="15.6" x14ac:dyDescent="0.3">
      <c r="B42" s="1328"/>
      <c r="C42" s="1323"/>
      <c r="D42" s="138"/>
      <c r="E42" s="138" t="s">
        <v>407</v>
      </c>
      <c r="F42" s="139"/>
      <c r="G42" s="318"/>
      <c r="H42" s="100"/>
    </row>
    <row r="43" spans="2:8" ht="15.6" x14ac:dyDescent="0.3">
      <c r="B43" s="1328"/>
      <c r="C43" s="1323"/>
      <c r="D43" s="138" t="s">
        <v>375</v>
      </c>
      <c r="E43" s="138"/>
      <c r="F43" s="139"/>
      <c r="G43" s="318"/>
      <c r="H43" s="100"/>
    </row>
    <row r="44" spans="2:8" ht="15.6" x14ac:dyDescent="0.3">
      <c r="B44" s="1328"/>
      <c r="C44" s="1323"/>
      <c r="D44" s="138" t="s">
        <v>402</v>
      </c>
      <c r="E44" s="138"/>
      <c r="F44" s="139"/>
      <c r="G44" s="318"/>
      <c r="H44" s="100"/>
    </row>
    <row r="45" spans="2:8" ht="15.6" x14ac:dyDescent="0.3">
      <c r="B45" s="1328"/>
      <c r="C45" s="1323"/>
      <c r="D45" s="138" t="s">
        <v>403</v>
      </c>
      <c r="E45" s="138"/>
      <c r="F45" s="139"/>
      <c r="G45" s="318"/>
      <c r="H45" s="100"/>
    </row>
    <row r="46" spans="2:8" ht="15.6" x14ac:dyDescent="0.3">
      <c r="B46" s="1328"/>
      <c r="C46" s="1323"/>
      <c r="D46" s="138"/>
      <c r="E46" s="138" t="s">
        <v>400</v>
      </c>
      <c r="F46" s="139"/>
      <c r="G46" s="318"/>
      <c r="H46" s="100"/>
    </row>
    <row r="47" spans="2:8" ht="15.6" x14ac:dyDescent="0.3">
      <c r="B47" s="1328"/>
      <c r="C47" s="1323"/>
      <c r="D47" s="138"/>
      <c r="E47" s="138" t="s">
        <v>412</v>
      </c>
      <c r="F47" s="139"/>
      <c r="G47" s="318"/>
      <c r="H47" s="100"/>
    </row>
    <row r="48" spans="2:8" ht="15.6" x14ac:dyDescent="0.3">
      <c r="B48" s="1328"/>
      <c r="C48" s="1323"/>
      <c r="D48" s="138" t="s">
        <v>355</v>
      </c>
      <c r="E48" s="138"/>
      <c r="F48" s="139"/>
      <c r="G48" s="318"/>
      <c r="H48" s="100"/>
    </row>
    <row r="49" spans="2:8" ht="15.6" x14ac:dyDescent="0.3">
      <c r="B49" s="1328"/>
      <c r="C49" s="1323"/>
      <c r="D49" s="144"/>
      <c r="E49" s="138" t="s">
        <v>413</v>
      </c>
      <c r="F49" s="139"/>
      <c r="G49" s="318"/>
      <c r="H49" s="100"/>
    </row>
    <row r="50" spans="2:8" ht="15.6" x14ac:dyDescent="0.3">
      <c r="B50" s="1328"/>
      <c r="C50" s="1323"/>
      <c r="D50" s="144"/>
      <c r="E50" s="138" t="s">
        <v>401</v>
      </c>
      <c r="F50" s="139"/>
      <c r="G50" s="318"/>
      <c r="H50" s="100"/>
    </row>
    <row r="51" spans="2:8" ht="15.6" x14ac:dyDescent="0.3">
      <c r="B51" s="1132"/>
      <c r="C51" s="1324"/>
      <c r="D51" s="341"/>
      <c r="E51" s="140" t="s">
        <v>364</v>
      </c>
      <c r="F51" s="146"/>
      <c r="G51" s="319"/>
      <c r="H51" s="327"/>
    </row>
    <row r="52" spans="2:8" ht="15.6" x14ac:dyDescent="0.3">
      <c r="B52" s="1131">
        <v>4</v>
      </c>
      <c r="C52" s="1330" t="s">
        <v>435</v>
      </c>
      <c r="D52" s="136" t="s">
        <v>344</v>
      </c>
      <c r="E52" s="141"/>
      <c r="F52" s="136"/>
      <c r="G52" s="322"/>
      <c r="H52" s="326"/>
    </row>
    <row r="53" spans="2:8" ht="15.6" x14ac:dyDescent="0.3">
      <c r="B53" s="1328"/>
      <c r="C53" s="1331"/>
      <c r="D53" s="138"/>
      <c r="E53" s="142" t="s">
        <v>307</v>
      </c>
      <c r="F53" s="138" t="s">
        <v>304</v>
      </c>
      <c r="G53" s="318"/>
      <c r="H53" s="100"/>
    </row>
    <row r="54" spans="2:8" ht="15.6" x14ac:dyDescent="0.3">
      <c r="B54" s="1328"/>
      <c r="C54" s="1331"/>
      <c r="D54" s="138"/>
      <c r="E54" s="142" t="s">
        <v>306</v>
      </c>
      <c r="F54" s="138" t="s">
        <v>305</v>
      </c>
      <c r="G54" s="318"/>
      <c r="H54" s="100"/>
    </row>
    <row r="55" spans="2:8" ht="15.6" x14ac:dyDescent="0.3">
      <c r="B55" s="1328"/>
      <c r="C55" s="1331"/>
      <c r="D55" s="138"/>
      <c r="E55" s="142" t="s">
        <v>429</v>
      </c>
      <c r="F55" s="138"/>
      <c r="G55" s="318"/>
      <c r="H55" s="100"/>
    </row>
    <row r="56" spans="2:8" ht="15.6" x14ac:dyDescent="0.3">
      <c r="B56" s="1328"/>
      <c r="C56" s="1331"/>
      <c r="D56" s="138" t="s">
        <v>343</v>
      </c>
      <c r="E56" s="142"/>
      <c r="F56" s="138"/>
      <c r="G56" s="318"/>
      <c r="H56" s="100"/>
    </row>
    <row r="57" spans="2:8" ht="15.6" x14ac:dyDescent="0.3">
      <c r="B57" s="1328"/>
      <c r="C57" s="1331"/>
      <c r="D57" s="138"/>
      <c r="E57" s="142" t="s">
        <v>307</v>
      </c>
      <c r="F57" s="138"/>
      <c r="G57" s="318"/>
      <c r="H57" s="100"/>
    </row>
    <row r="58" spans="2:8" ht="15.6" x14ac:dyDescent="0.3">
      <c r="B58" s="1328"/>
      <c r="C58" s="1331"/>
      <c r="D58" s="138" t="s">
        <v>430</v>
      </c>
      <c r="E58" s="342"/>
      <c r="F58" s="138"/>
      <c r="G58" s="318"/>
      <c r="H58" s="100"/>
    </row>
    <row r="59" spans="2:8" ht="15.6" x14ac:dyDescent="0.3">
      <c r="B59" s="1328"/>
      <c r="C59" s="1331"/>
      <c r="D59" s="138"/>
      <c r="E59" s="142" t="s">
        <v>423</v>
      </c>
      <c r="F59" s="138" t="s">
        <v>427</v>
      </c>
      <c r="G59" s="318"/>
      <c r="H59" s="100"/>
    </row>
    <row r="60" spans="2:8" ht="15.6" x14ac:dyDescent="0.3">
      <c r="B60" s="1328"/>
      <c r="C60" s="1331"/>
      <c r="D60" s="138"/>
      <c r="E60" s="142" t="s">
        <v>425</v>
      </c>
      <c r="F60" s="138" t="s">
        <v>200</v>
      </c>
      <c r="G60" s="318"/>
      <c r="H60" s="100"/>
    </row>
    <row r="61" spans="2:8" ht="15.6" x14ac:dyDescent="0.3">
      <c r="B61" s="1328"/>
      <c r="C61" s="1331"/>
      <c r="D61" s="138"/>
      <c r="E61" s="142" t="s">
        <v>424</v>
      </c>
      <c r="F61" s="138" t="s">
        <v>428</v>
      </c>
      <c r="G61" s="318"/>
      <c r="H61" s="100"/>
    </row>
    <row r="62" spans="2:8" ht="15.6" x14ac:dyDescent="0.3">
      <c r="B62" s="1328"/>
      <c r="C62" s="1331"/>
      <c r="D62" s="138" t="s">
        <v>631</v>
      </c>
      <c r="E62" s="142"/>
      <c r="F62" s="138"/>
      <c r="G62" s="318"/>
      <c r="H62" s="100"/>
    </row>
    <row r="63" spans="2:8" ht="15.6" x14ac:dyDescent="0.3">
      <c r="B63" s="1132"/>
      <c r="C63" s="1332"/>
      <c r="D63" s="140"/>
      <c r="E63" s="143"/>
      <c r="F63" s="140"/>
      <c r="G63" s="319"/>
      <c r="H63" s="327"/>
    </row>
    <row r="64" spans="2:8" ht="15.6" x14ac:dyDescent="0.3">
      <c r="B64" s="1131">
        <v>5</v>
      </c>
      <c r="C64" s="1325" t="s">
        <v>420</v>
      </c>
      <c r="D64" s="136" t="s">
        <v>328</v>
      </c>
      <c r="E64" s="136"/>
      <c r="F64" s="137"/>
      <c r="G64" s="322"/>
      <c r="H64" s="326"/>
    </row>
    <row r="65" spans="2:8" ht="15.6" x14ac:dyDescent="0.3">
      <c r="B65" s="1328"/>
      <c r="C65" s="1326"/>
      <c r="D65" s="138"/>
      <c r="E65" s="138" t="s">
        <v>308</v>
      </c>
      <c r="F65" s="139" t="s">
        <v>305</v>
      </c>
      <c r="G65" s="318"/>
      <c r="H65" s="100"/>
    </row>
    <row r="66" spans="2:8" ht="15.6" x14ac:dyDescent="0.3">
      <c r="B66" s="1328"/>
      <c r="C66" s="1326"/>
      <c r="D66" s="138"/>
      <c r="E66" s="138"/>
      <c r="F66" s="139" t="s">
        <v>310</v>
      </c>
      <c r="G66" s="318"/>
      <c r="H66" s="100"/>
    </row>
    <row r="67" spans="2:8" ht="15.6" x14ac:dyDescent="0.3">
      <c r="B67" s="1328"/>
      <c r="C67" s="1326"/>
      <c r="D67" s="138"/>
      <c r="E67" s="138" t="s">
        <v>309</v>
      </c>
      <c r="F67" s="144" t="s">
        <v>311</v>
      </c>
      <c r="G67" s="318"/>
      <c r="H67" s="100"/>
    </row>
    <row r="68" spans="2:8" ht="15.6" x14ac:dyDescent="0.3">
      <c r="B68" s="1328"/>
      <c r="C68" s="1326"/>
      <c r="D68" s="138"/>
      <c r="E68" s="138"/>
      <c r="F68" s="139" t="s">
        <v>260</v>
      </c>
      <c r="G68" s="318"/>
      <c r="H68" s="100"/>
    </row>
    <row r="69" spans="2:8" ht="15.6" x14ac:dyDescent="0.3">
      <c r="B69" s="1328"/>
      <c r="C69" s="1326"/>
      <c r="D69" s="138"/>
      <c r="E69" s="138" t="s">
        <v>334</v>
      </c>
      <c r="F69" s="139"/>
      <c r="G69" s="318"/>
      <c r="H69" s="100"/>
    </row>
    <row r="70" spans="2:8" ht="15.6" x14ac:dyDescent="0.3">
      <c r="B70" s="1328"/>
      <c r="C70" s="1326"/>
      <c r="D70" s="138" t="s">
        <v>418</v>
      </c>
      <c r="E70" s="138"/>
      <c r="F70" s="139"/>
      <c r="G70" s="318"/>
      <c r="H70" s="100"/>
    </row>
    <row r="71" spans="2:8" ht="15.6" x14ac:dyDescent="0.3">
      <c r="B71" s="1328"/>
      <c r="C71" s="1326"/>
      <c r="D71" s="138"/>
      <c r="E71" s="138" t="s">
        <v>291</v>
      </c>
      <c r="F71" s="139"/>
      <c r="G71" s="318"/>
      <c r="H71" s="100"/>
    </row>
    <row r="72" spans="2:8" ht="15.6" x14ac:dyDescent="0.3">
      <c r="B72" s="1328"/>
      <c r="C72" s="1326"/>
      <c r="D72" s="138" t="s">
        <v>393</v>
      </c>
      <c r="E72" s="138"/>
      <c r="F72" s="139"/>
      <c r="G72" s="318"/>
      <c r="H72" s="100"/>
    </row>
    <row r="73" spans="2:8" ht="15.6" x14ac:dyDescent="0.3">
      <c r="B73" s="1328"/>
      <c r="C73" s="1326"/>
      <c r="D73" s="138"/>
      <c r="E73" s="138" t="s">
        <v>394</v>
      </c>
      <c r="F73" s="139" t="s">
        <v>391</v>
      </c>
      <c r="G73" s="318"/>
      <c r="H73" s="100"/>
    </row>
    <row r="74" spans="2:8" ht="15.6" x14ac:dyDescent="0.3">
      <c r="B74" s="1328"/>
      <c r="C74" s="1326"/>
      <c r="D74" s="138"/>
      <c r="E74" s="138" t="s">
        <v>395</v>
      </c>
      <c r="F74" s="139" t="s">
        <v>396</v>
      </c>
      <c r="G74" s="318"/>
      <c r="H74" s="100"/>
    </row>
    <row r="75" spans="2:8" ht="15.6" x14ac:dyDescent="0.3">
      <c r="B75" s="1328"/>
      <c r="C75" s="1326"/>
      <c r="D75" s="138" t="s">
        <v>426</v>
      </c>
      <c r="E75" s="138"/>
      <c r="F75" s="139"/>
      <c r="G75" s="318"/>
      <c r="H75" s="100"/>
    </row>
    <row r="76" spans="2:8" ht="15.6" x14ac:dyDescent="0.3">
      <c r="B76" s="1328"/>
      <c r="C76" s="1326"/>
      <c r="D76" s="138"/>
      <c r="E76" s="138" t="s">
        <v>421</v>
      </c>
      <c r="F76" s="139"/>
      <c r="G76" s="318"/>
      <c r="H76" s="100"/>
    </row>
    <row r="77" spans="2:8" ht="15.6" x14ac:dyDescent="0.3">
      <c r="B77" s="1328"/>
      <c r="C77" s="1326"/>
      <c r="D77" s="138"/>
      <c r="E77" s="145"/>
      <c r="F77" s="139" t="s">
        <v>333</v>
      </c>
      <c r="G77" s="318"/>
      <c r="H77" s="100"/>
    </row>
    <row r="78" spans="2:8" ht="15.6" x14ac:dyDescent="0.3">
      <c r="B78" s="1328"/>
      <c r="C78" s="1326"/>
      <c r="D78" s="138"/>
      <c r="E78" s="145"/>
      <c r="F78" s="139" t="s">
        <v>433</v>
      </c>
      <c r="G78" s="318"/>
      <c r="H78" s="100"/>
    </row>
    <row r="79" spans="2:8" ht="15.6" x14ac:dyDescent="0.3">
      <c r="B79" s="1328"/>
      <c r="C79" s="1326"/>
      <c r="D79" s="138"/>
      <c r="E79" s="138" t="s">
        <v>422</v>
      </c>
      <c r="F79" s="139"/>
      <c r="G79" s="318"/>
      <c r="H79" s="100"/>
    </row>
    <row r="80" spans="2:8" ht="15.6" x14ac:dyDescent="0.3">
      <c r="B80" s="1328"/>
      <c r="C80" s="1326"/>
      <c r="D80" s="138"/>
      <c r="E80" s="138"/>
      <c r="F80" s="139"/>
      <c r="G80" s="318"/>
      <c r="H80" s="100"/>
    </row>
    <row r="81" spans="2:8" ht="15.6" x14ac:dyDescent="0.3">
      <c r="B81" s="1328"/>
      <c r="C81" s="1326"/>
      <c r="D81" s="138"/>
      <c r="E81" s="138"/>
      <c r="F81" s="139"/>
      <c r="G81" s="318"/>
      <c r="H81" s="100"/>
    </row>
    <row r="82" spans="2:8" ht="15.6" x14ac:dyDescent="0.3">
      <c r="B82" s="1328"/>
      <c r="C82" s="1326"/>
      <c r="D82" s="138"/>
      <c r="E82" s="138"/>
      <c r="F82" s="139"/>
      <c r="G82" s="318"/>
      <c r="H82" s="100"/>
    </row>
    <row r="83" spans="2:8" ht="15.6" x14ac:dyDescent="0.3">
      <c r="B83" s="1132"/>
      <c r="C83" s="1327"/>
      <c r="D83" s="140"/>
      <c r="E83" s="140"/>
      <c r="F83" s="146"/>
      <c r="G83" s="319"/>
      <c r="H83" s="327"/>
    </row>
    <row r="84" spans="2:8" ht="15.6" x14ac:dyDescent="0.3">
      <c r="B84" s="1131">
        <v>6</v>
      </c>
      <c r="C84" s="1329" t="s">
        <v>431</v>
      </c>
      <c r="D84" s="136" t="s">
        <v>326</v>
      </c>
      <c r="E84" s="136"/>
      <c r="F84" s="137"/>
      <c r="G84" s="322"/>
      <c r="H84" s="326"/>
    </row>
    <row r="85" spans="2:8" ht="15.6" x14ac:dyDescent="0.3">
      <c r="B85" s="1328"/>
      <c r="C85" s="1323"/>
      <c r="D85" s="138"/>
      <c r="E85" s="138" t="s">
        <v>320</v>
      </c>
      <c r="F85" s="139" t="s">
        <v>321</v>
      </c>
      <c r="G85" s="318"/>
      <c r="H85" s="100"/>
    </row>
    <row r="86" spans="2:8" ht="15.6" x14ac:dyDescent="0.3">
      <c r="B86" s="1328"/>
      <c r="C86" s="1323"/>
      <c r="D86" s="138"/>
      <c r="E86" s="138"/>
      <c r="F86" s="139" t="s">
        <v>325</v>
      </c>
      <c r="G86" s="318"/>
      <c r="H86" s="100"/>
    </row>
    <row r="87" spans="2:8" ht="15.6" x14ac:dyDescent="0.3">
      <c r="B87" s="1328"/>
      <c r="C87" s="1323"/>
      <c r="D87" s="138" t="s">
        <v>327</v>
      </c>
      <c r="E87" s="138"/>
      <c r="F87" s="139"/>
      <c r="G87" s="318"/>
      <c r="H87" s="100"/>
    </row>
    <row r="88" spans="2:8" ht="15.6" x14ac:dyDescent="0.3">
      <c r="B88" s="1328"/>
      <c r="C88" s="1323"/>
      <c r="D88" s="138"/>
      <c r="E88" s="138" t="s">
        <v>322</v>
      </c>
      <c r="F88" s="139"/>
      <c r="G88" s="318"/>
      <c r="H88" s="100"/>
    </row>
    <row r="89" spans="2:8" ht="15.6" x14ac:dyDescent="0.3">
      <c r="B89" s="1328"/>
      <c r="C89" s="1323"/>
      <c r="D89" s="138"/>
      <c r="E89" s="138" t="s">
        <v>329</v>
      </c>
      <c r="F89" s="139"/>
      <c r="G89" s="318"/>
      <c r="H89" s="100"/>
    </row>
    <row r="90" spans="2:8" ht="15.6" x14ac:dyDescent="0.3">
      <c r="B90" s="1328"/>
      <c r="C90" s="1323"/>
      <c r="D90" s="138"/>
      <c r="E90" s="138" t="s">
        <v>389</v>
      </c>
      <c r="F90" s="139"/>
      <c r="G90" s="318"/>
      <c r="H90" s="100"/>
    </row>
    <row r="91" spans="2:8" ht="15.6" x14ac:dyDescent="0.3">
      <c r="B91" s="1328"/>
      <c r="C91" s="1323"/>
      <c r="D91" s="138"/>
      <c r="E91" s="138"/>
      <c r="F91" s="139" t="s">
        <v>432</v>
      </c>
      <c r="G91" s="318"/>
      <c r="H91" s="100"/>
    </row>
    <row r="92" spans="2:8" ht="15.6" x14ac:dyDescent="0.3">
      <c r="B92" s="1328"/>
      <c r="C92" s="1323"/>
      <c r="D92" s="138" t="s">
        <v>361</v>
      </c>
      <c r="E92" s="138"/>
      <c r="F92" s="139"/>
      <c r="G92" s="318"/>
      <c r="H92" s="100"/>
    </row>
    <row r="93" spans="2:8" ht="15.6" x14ac:dyDescent="0.3">
      <c r="B93" s="1328"/>
      <c r="C93" s="1323"/>
      <c r="D93" s="138"/>
      <c r="E93" s="138" t="s">
        <v>362</v>
      </c>
      <c r="F93" s="139" t="s">
        <v>366</v>
      </c>
      <c r="G93" s="318"/>
      <c r="H93" s="100"/>
    </row>
    <row r="94" spans="2:8" ht="15.6" x14ac:dyDescent="0.3">
      <c r="B94" s="1328"/>
      <c r="C94" s="1323"/>
      <c r="D94" s="138"/>
      <c r="E94" s="138"/>
      <c r="F94" s="139" t="s">
        <v>367</v>
      </c>
      <c r="G94" s="318"/>
      <c r="H94" s="100"/>
    </row>
    <row r="95" spans="2:8" ht="15.6" x14ac:dyDescent="0.3">
      <c r="B95" s="1328"/>
      <c r="C95" s="1323"/>
      <c r="D95" s="138" t="s">
        <v>368</v>
      </c>
      <c r="E95" s="138"/>
      <c r="F95" s="139"/>
      <c r="G95" s="318"/>
      <c r="H95" s="100"/>
    </row>
    <row r="96" spans="2:8" ht="15.6" x14ac:dyDescent="0.3">
      <c r="B96" s="1328"/>
      <c r="C96" s="1323"/>
      <c r="D96" s="138"/>
      <c r="E96" s="138" t="s">
        <v>369</v>
      </c>
      <c r="F96" s="139" t="s">
        <v>371</v>
      </c>
      <c r="G96" s="318"/>
      <c r="H96" s="100"/>
    </row>
    <row r="97" spans="2:8" ht="15.6" x14ac:dyDescent="0.3">
      <c r="B97" s="1328"/>
      <c r="C97" s="1323"/>
      <c r="D97" s="138"/>
      <c r="E97" s="138" t="s">
        <v>370</v>
      </c>
      <c r="F97" s="139" t="s">
        <v>372</v>
      </c>
      <c r="G97" s="318"/>
      <c r="H97" s="100"/>
    </row>
    <row r="98" spans="2:8" ht="15.6" x14ac:dyDescent="0.3">
      <c r="B98" s="1328"/>
      <c r="C98" s="1323"/>
      <c r="D98" s="138"/>
      <c r="E98" s="138"/>
      <c r="F98" s="139" t="s">
        <v>373</v>
      </c>
      <c r="G98" s="318"/>
      <c r="H98" s="100"/>
    </row>
    <row r="99" spans="2:8" ht="15.6" x14ac:dyDescent="0.3">
      <c r="B99" s="1132"/>
      <c r="C99" s="1324"/>
      <c r="D99" s="140"/>
      <c r="E99" s="140" t="s">
        <v>374</v>
      </c>
      <c r="F99" s="146"/>
      <c r="G99" s="319"/>
      <c r="H99" s="327"/>
    </row>
    <row r="100" spans="2:8" ht="15.6" x14ac:dyDescent="0.3">
      <c r="B100" s="1080">
        <v>7</v>
      </c>
      <c r="C100" s="1323" t="s">
        <v>415</v>
      </c>
      <c r="D100" s="138"/>
      <c r="E100" s="138"/>
      <c r="F100" s="139"/>
      <c r="G100" s="318"/>
      <c r="H100" s="100"/>
    </row>
    <row r="101" spans="2:8" ht="15.6" x14ac:dyDescent="0.3">
      <c r="B101" s="1301"/>
      <c r="C101" s="1323"/>
      <c r="D101" s="138" t="s">
        <v>377</v>
      </c>
      <c r="E101" s="147" t="s">
        <v>378</v>
      </c>
      <c r="F101" s="139"/>
      <c r="G101" s="318"/>
      <c r="H101" s="100"/>
    </row>
    <row r="102" spans="2:8" ht="15.6" x14ac:dyDescent="0.3">
      <c r="B102" s="1301"/>
      <c r="C102" s="1323"/>
      <c r="D102" s="138"/>
      <c r="E102" s="138" t="s">
        <v>397</v>
      </c>
      <c r="F102" s="139" t="s">
        <v>381</v>
      </c>
      <c r="G102" s="318"/>
      <c r="H102" s="100"/>
    </row>
    <row r="103" spans="2:8" ht="15.6" x14ac:dyDescent="0.3">
      <c r="B103" s="1301"/>
      <c r="C103" s="1323"/>
      <c r="D103" s="138" t="s">
        <v>382</v>
      </c>
      <c r="E103" s="138"/>
      <c r="F103" s="139"/>
      <c r="G103" s="318"/>
      <c r="H103" s="100"/>
    </row>
    <row r="104" spans="2:8" ht="15.6" x14ac:dyDescent="0.3">
      <c r="B104" s="1301"/>
      <c r="C104" s="1323"/>
      <c r="D104" s="138"/>
      <c r="E104" s="147" t="s">
        <v>379</v>
      </c>
      <c r="F104" s="139" t="s">
        <v>416</v>
      </c>
      <c r="G104" s="318"/>
      <c r="H104" s="100"/>
    </row>
    <row r="105" spans="2:8" ht="15.6" x14ac:dyDescent="0.3">
      <c r="B105" s="1301"/>
      <c r="C105" s="1323"/>
      <c r="D105" s="138"/>
      <c r="E105" s="138" t="s">
        <v>383</v>
      </c>
      <c r="F105" s="139" t="s">
        <v>417</v>
      </c>
      <c r="G105" s="318"/>
      <c r="H105" s="100"/>
    </row>
    <row r="106" spans="2:8" ht="15.6" x14ac:dyDescent="0.3">
      <c r="B106" s="1301"/>
      <c r="C106" s="1323"/>
      <c r="D106" s="138"/>
      <c r="E106" s="138" t="s">
        <v>365</v>
      </c>
      <c r="F106" s="139"/>
      <c r="G106" s="318"/>
      <c r="H106" s="100"/>
    </row>
    <row r="107" spans="2:8" ht="15.6" x14ac:dyDescent="0.3">
      <c r="B107" s="1301"/>
      <c r="C107" s="1323"/>
      <c r="D107" s="138" t="s">
        <v>380</v>
      </c>
      <c r="E107" s="138"/>
      <c r="F107" s="139"/>
      <c r="G107" s="318"/>
      <c r="H107" s="100"/>
    </row>
    <row r="108" spans="2:8" ht="15.6" x14ac:dyDescent="0.3">
      <c r="B108" s="1301"/>
      <c r="C108" s="1323"/>
      <c r="D108" s="138"/>
      <c r="E108" s="138" t="s">
        <v>387</v>
      </c>
      <c r="F108" s="139"/>
      <c r="G108" s="318"/>
      <c r="H108" s="100"/>
    </row>
    <row r="109" spans="2:8" ht="15.6" x14ac:dyDescent="0.3">
      <c r="B109" s="1301"/>
      <c r="C109" s="1323"/>
      <c r="D109" s="138"/>
      <c r="E109" s="138" t="s">
        <v>399</v>
      </c>
      <c r="F109" s="139"/>
      <c r="G109" s="318"/>
      <c r="H109" s="100"/>
    </row>
    <row r="110" spans="2:8" ht="15.6" x14ac:dyDescent="0.3">
      <c r="B110" s="1301"/>
      <c r="C110" s="1323"/>
      <c r="D110" s="138" t="s">
        <v>385</v>
      </c>
      <c r="E110" s="145"/>
      <c r="F110" s="139"/>
      <c r="G110" s="318"/>
      <c r="H110" s="100"/>
    </row>
    <row r="111" spans="2:8" ht="15.6" x14ac:dyDescent="0.3">
      <c r="B111" s="1301"/>
      <c r="C111" s="1323"/>
      <c r="D111" s="138"/>
      <c r="E111" s="138" t="s">
        <v>384</v>
      </c>
      <c r="F111" s="139"/>
      <c r="G111" s="318"/>
      <c r="H111" s="100"/>
    </row>
    <row r="112" spans="2:8" ht="15.6" x14ac:dyDescent="0.3">
      <c r="B112" s="1301"/>
      <c r="C112" s="1323"/>
      <c r="D112" s="138"/>
      <c r="E112" s="138" t="s">
        <v>386</v>
      </c>
      <c r="F112" s="139"/>
      <c r="G112" s="318"/>
      <c r="H112" s="100"/>
    </row>
    <row r="113" spans="2:8" ht="15.6" x14ac:dyDescent="0.3">
      <c r="B113" s="1083"/>
      <c r="C113" s="1324"/>
      <c r="D113" s="140"/>
      <c r="E113" s="140" t="s">
        <v>388</v>
      </c>
      <c r="F113" s="146"/>
      <c r="G113" s="319"/>
      <c r="H113" s="327"/>
    </row>
    <row r="117" spans="2:8" x14ac:dyDescent="0.3">
      <c r="C117" t="s">
        <v>312</v>
      </c>
      <c r="D117" t="s">
        <v>464</v>
      </c>
      <c r="E117" s="251" t="s">
        <v>477</v>
      </c>
      <c r="F117" s="339" t="s">
        <v>315</v>
      </c>
      <c r="G117" s="249" t="s">
        <v>637</v>
      </c>
      <c r="H117" s="249" t="s">
        <v>638</v>
      </c>
    </row>
    <row r="118" spans="2:8" x14ac:dyDescent="0.3">
      <c r="C118" s="249" t="str">
        <f>+C6</f>
        <v>Oxidant Stream</v>
      </c>
      <c r="D118" s="249" t="s">
        <v>487</v>
      </c>
      <c r="E118" s="167" t="s">
        <v>478</v>
      </c>
      <c r="F118" s="325">
        <v>1995</v>
      </c>
      <c r="G118" s="249">
        <v>1</v>
      </c>
      <c r="H118" s="249">
        <v>1</v>
      </c>
    </row>
    <row r="119" spans="2:8" x14ac:dyDescent="0.3">
      <c r="C119" s="249" t="str">
        <f>+C13</f>
        <v>Primary Conversion</v>
      </c>
      <c r="D119" s="252" t="s">
        <v>456</v>
      </c>
      <c r="E119" s="167" t="s">
        <v>479</v>
      </c>
      <c r="F119" s="116">
        <v>1996</v>
      </c>
      <c r="G119" s="249">
        <v>2</v>
      </c>
      <c r="H119" s="249">
        <v>2</v>
      </c>
    </row>
    <row r="120" spans="2:8" x14ac:dyDescent="0.3">
      <c r="C120" s="249" t="str">
        <f>+C28</f>
        <v>Power Generation</v>
      </c>
      <c r="D120" s="249"/>
      <c r="E120" s="167" t="s">
        <v>480</v>
      </c>
      <c r="F120" s="116">
        <v>1997</v>
      </c>
      <c r="G120" s="249">
        <v>3</v>
      </c>
      <c r="H120" s="249">
        <v>3</v>
      </c>
    </row>
    <row r="121" spans="2:8" x14ac:dyDescent="0.3">
      <c r="C121" s="249" t="str">
        <f>+C64</f>
        <v>Secondary Conversion</v>
      </c>
      <c r="D121" s="249"/>
      <c r="E121" s="167" t="s">
        <v>481</v>
      </c>
      <c r="F121" s="116">
        <v>1998</v>
      </c>
      <c r="G121" s="249">
        <v>4</v>
      </c>
      <c r="H121" s="249">
        <v>4</v>
      </c>
    </row>
    <row r="122" spans="2:8" x14ac:dyDescent="0.3">
      <c r="C122" s="249" t="str">
        <f>+C84</f>
        <v>Contaminant Removal</v>
      </c>
      <c r="D122" s="249"/>
      <c r="E122" s="167" t="s">
        <v>482</v>
      </c>
      <c r="F122" s="116">
        <v>1999</v>
      </c>
      <c r="G122" s="249"/>
      <c r="H122" s="249">
        <v>5</v>
      </c>
    </row>
    <row r="123" spans="2:8" x14ac:dyDescent="0.3">
      <c r="C123" s="249" t="str">
        <f>+C100</f>
        <v>Energy Storage</v>
      </c>
      <c r="D123" s="249"/>
      <c r="E123" s="167" t="s">
        <v>488</v>
      </c>
      <c r="F123" s="116">
        <v>2000</v>
      </c>
      <c r="G123" s="249"/>
      <c r="H123" s="249">
        <v>6</v>
      </c>
    </row>
    <row r="124" spans="2:8" x14ac:dyDescent="0.3">
      <c r="C124" s="249" t="s">
        <v>435</v>
      </c>
      <c r="D124" s="249"/>
      <c r="E124" s="167" t="s">
        <v>600</v>
      </c>
      <c r="F124" s="116">
        <v>2001</v>
      </c>
      <c r="G124" s="249"/>
      <c r="H124" s="249">
        <v>7</v>
      </c>
    </row>
    <row r="125" spans="2:8" x14ac:dyDescent="0.3">
      <c r="C125" s="249"/>
      <c r="D125" s="249"/>
      <c r="E125" s="167" t="s">
        <v>483</v>
      </c>
      <c r="F125" s="116">
        <v>2002</v>
      </c>
      <c r="G125" s="249"/>
      <c r="H125" s="249">
        <v>8</v>
      </c>
    </row>
    <row r="126" spans="2:8" x14ac:dyDescent="0.3">
      <c r="C126" s="249"/>
      <c r="D126" s="249"/>
      <c r="E126" s="167" t="s">
        <v>602</v>
      </c>
      <c r="F126" s="116">
        <v>2003</v>
      </c>
      <c r="G126" s="249"/>
      <c r="H126" s="249">
        <v>9</v>
      </c>
    </row>
    <row r="127" spans="2:8" x14ac:dyDescent="0.3">
      <c r="C127" s="249"/>
      <c r="D127" s="249"/>
      <c r="E127" s="167" t="s">
        <v>484</v>
      </c>
      <c r="F127" s="116">
        <v>2004</v>
      </c>
      <c r="G127" s="249"/>
      <c r="H127" s="249">
        <v>10</v>
      </c>
    </row>
    <row r="128" spans="2:8" x14ac:dyDescent="0.3">
      <c r="E128" s="334" t="s">
        <v>601</v>
      </c>
      <c r="F128" s="116">
        <v>2005</v>
      </c>
      <c r="G128" s="249"/>
      <c r="H128" s="249">
        <v>11</v>
      </c>
    </row>
    <row r="129" spans="5:8" x14ac:dyDescent="0.3">
      <c r="E129" s="334" t="s">
        <v>625</v>
      </c>
      <c r="F129" s="116">
        <v>2006</v>
      </c>
      <c r="G129" s="249"/>
      <c r="H129" s="249">
        <v>12</v>
      </c>
    </row>
    <row r="130" spans="5:8" x14ac:dyDescent="0.3">
      <c r="E130" s="334" t="s">
        <v>597</v>
      </c>
      <c r="F130" s="116">
        <v>2007</v>
      </c>
      <c r="G130" s="249"/>
      <c r="H130" s="249">
        <v>13</v>
      </c>
    </row>
    <row r="131" spans="5:8" x14ac:dyDescent="0.3">
      <c r="E131" s="334" t="s">
        <v>598</v>
      </c>
      <c r="F131" s="116">
        <v>2008</v>
      </c>
      <c r="G131" s="249"/>
      <c r="H131" s="249">
        <v>14</v>
      </c>
    </row>
    <row r="132" spans="5:8" x14ac:dyDescent="0.3">
      <c r="E132" s="334"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9" t="s">
        <v>653</v>
      </c>
      <c r="C2" s="1287"/>
      <c r="D2" s="1288"/>
      <c r="E2" s="1288"/>
      <c r="F2" s="1288"/>
      <c r="G2" s="1288"/>
      <c r="H2" s="1288"/>
      <c r="I2" s="1288"/>
      <c r="J2" s="1288"/>
      <c r="K2" s="1288"/>
      <c r="L2" s="1288"/>
      <c r="M2" s="1288"/>
      <c r="N2" s="1288"/>
      <c r="O2" s="1288"/>
      <c r="P2" s="1288"/>
      <c r="Q2" s="1288"/>
      <c r="R2" s="1288"/>
      <c r="S2" s="1288"/>
      <c r="T2" s="1288"/>
      <c r="U2" s="1289"/>
    </row>
    <row r="3" spans="2:21" ht="18" x14ac:dyDescent="0.3">
      <c r="B3" s="1102" t="s">
        <v>642</v>
      </c>
      <c r="C3" s="1103"/>
      <c r="D3" s="1103"/>
      <c r="E3" s="1103"/>
      <c r="F3" s="1103"/>
      <c r="G3" s="1103"/>
      <c r="H3" s="1103"/>
      <c r="I3" s="1104"/>
      <c r="J3" s="1102" t="s">
        <v>643</v>
      </c>
      <c r="K3" s="1103"/>
      <c r="L3" s="1103"/>
      <c r="M3" s="1103"/>
      <c r="N3" s="1103"/>
      <c r="O3" s="1103"/>
      <c r="P3" s="1103"/>
      <c r="Q3" s="1103"/>
      <c r="R3" s="1104"/>
      <c r="S3" s="1102" t="s">
        <v>644</v>
      </c>
      <c r="T3" s="1103"/>
      <c r="U3" s="1104"/>
    </row>
    <row r="4" spans="2:21" ht="18" x14ac:dyDescent="0.3">
      <c r="B4" s="88" t="s">
        <v>356</v>
      </c>
      <c r="C4" s="88" t="s">
        <v>646</v>
      </c>
      <c r="D4" s="88" t="s">
        <v>498</v>
      </c>
      <c r="E4" s="89" t="s">
        <v>464</v>
      </c>
      <c r="F4" s="89" t="s">
        <v>315</v>
      </c>
      <c r="G4" s="89" t="s">
        <v>509</v>
      </c>
      <c r="H4" s="88" t="s">
        <v>506</v>
      </c>
      <c r="I4" s="388" t="s">
        <v>235</v>
      </c>
      <c r="J4" s="262" t="s">
        <v>466</v>
      </c>
      <c r="K4" s="262" t="s">
        <v>467</v>
      </c>
      <c r="L4" s="261" t="s">
        <v>586</v>
      </c>
      <c r="M4" s="263" t="s">
        <v>469</v>
      </c>
      <c r="N4" s="264" t="s">
        <v>468</v>
      </c>
      <c r="O4" s="263" t="s">
        <v>650</v>
      </c>
      <c r="P4" s="263" t="s">
        <v>651</v>
      </c>
      <c r="Q4" s="263" t="s">
        <v>465</v>
      </c>
      <c r="R4" s="90" t="s">
        <v>639</v>
      </c>
      <c r="S4" s="394" t="s">
        <v>647</v>
      </c>
      <c r="T4" s="1333" t="s">
        <v>645</v>
      </c>
      <c r="U4" s="1212"/>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204" t="str">
        <f>TEXT(C2,0)</f>
        <v>0</v>
      </c>
      <c r="K14" s="1205"/>
      <c r="L14" s="1205"/>
      <c r="M14" s="1205"/>
      <c r="N14" s="1205"/>
      <c r="O14" s="1205"/>
      <c r="P14" s="1205"/>
      <c r="Q14" s="1205"/>
      <c r="R14" s="1205"/>
      <c r="S14" s="1205"/>
      <c r="T14" s="1206"/>
      <c r="U14" s="84"/>
    </row>
    <row r="15" spans="2:21" x14ac:dyDescent="0.3">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2021-09-23T10:55:05Z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