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17.xml" ContentType="application/vnd.openxmlformats-officedocument.spreadsheetml.table+xml"/>
  <Override PartName="/xl/drawings/drawing10.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trlProps/ctrlProp38.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5D612493-7EC3-4381-B433-117074224723}" xr6:coauthVersionLast="47" xr6:coauthVersionMax="47" xr10:uidLastSave="{00000000-0000-0000-0000-000000000000}"/>
  <bookViews>
    <workbookView xWindow="-108" yWindow="-108" windowWidth="23256" windowHeight="1317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3" i="84" l="1"/>
  <c r="R43" i="84"/>
  <c r="R42" i="84"/>
  <c r="P42" i="84"/>
  <c r="Q10" i="16"/>
  <c r="G7" i="95"/>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H18" i="30" a="1"/>
  <c r="H14" i="30" a="1"/>
  <c r="D44" i="30" a="1"/>
  <c r="H17" i="30" a="1"/>
  <c r="D13" i="30" a="1"/>
  <c r="H21" i="30" a="1"/>
  <c r="D29" i="30" a="1"/>
  <c r="H5" i="30" a="1"/>
  <c r="D21" i="30" a="1"/>
  <c r="H4" i="30" a="1"/>
  <c r="D19" i="30" a="1"/>
  <c r="D8" i="30" a="1"/>
  <c r="H7" i="30" a="1"/>
  <c r="D30" i="30" a="1"/>
  <c r="H12" i="30" a="1"/>
  <c r="D45" i="30" a="1"/>
  <c r="H10" i="30" a="1"/>
  <c r="D46" i="30" a="1"/>
  <c r="H15" i="30" a="1"/>
  <c r="D26" i="30" a="1"/>
  <c r="D27" i="30" a="1"/>
  <c r="D28" i="30" a="1"/>
  <c r="D37" i="30" a="1"/>
  <c r="D15" i="30" a="1"/>
  <c r="D5" i="30" a="1"/>
  <c r="D18" i="30" a="1"/>
  <c r="D35" i="30" a="1"/>
  <c r="D39" i="30" a="1"/>
  <c r="D22" i="30" a="1"/>
  <c r="H3" i="30" a="1"/>
  <c r="D42" i="30" a="1"/>
  <c r="D17" i="30" a="1"/>
  <c r="H20" i="30" a="1"/>
  <c r="H19" i="30" a="1"/>
  <c r="D9" i="30" a="1"/>
  <c r="D12" i="30" a="1"/>
  <c r="D10" i="30" a="1"/>
  <c r="D40" i="30" a="1"/>
  <c r="D38" i="30" a="1"/>
  <c r="D31" i="30" a="1"/>
  <c r="H8" i="30" a="1"/>
  <c r="H22" i="30" a="1"/>
  <c r="D41" i="30" a="1"/>
  <c r="D16" i="30" a="1"/>
  <c r="D48" i="30" a="1"/>
  <c r="D14" i="30" a="1"/>
  <c r="D23" i="30" a="1"/>
  <c r="D36" i="30" a="1"/>
  <c r="D20" i="30" a="1"/>
  <c r="D25" i="30" a="1"/>
  <c r="D34" i="30" a="1"/>
  <c r="H13" i="30" a="1"/>
  <c r="H6" i="30" a="1"/>
  <c r="H11" i="30" a="1"/>
  <c r="D6" i="30" a="1"/>
  <c r="D32" i="30" a="1"/>
  <c r="D33" i="30" a="1"/>
  <c r="D4" i="30" a="1"/>
  <c r="D47" i="30" a="1"/>
  <c r="D24" i="30" a="1"/>
  <c r="D43" i="30" a="1"/>
  <c r="H9" i="30" a="1"/>
  <c r="D7" i="30" a="1"/>
  <c r="D11" i="30" a="1"/>
  <c r="D3" i="30" a="1"/>
  <c r="H16"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R33" i="84" l="1"/>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AH35" i="84" s="1"/>
  <c r="AH37" i="84" s="1"/>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AJ35" i="84" s="1"/>
  <c r="AJ37" i="84" s="1"/>
  <c r="N34" i="84"/>
  <c r="AM34" i="84"/>
  <c r="H34" i="84"/>
  <c r="I34" i="84"/>
  <c r="S34" i="84"/>
  <c r="Q34" i="84"/>
  <c r="S22" i="32"/>
  <c r="R22" i="32"/>
  <c r="S18" i="32"/>
  <c r="T21" i="32"/>
  <c r="T18" i="32"/>
  <c r="S19" i="32"/>
  <c r="S17" i="32"/>
  <c r="T22" i="32"/>
  <c r="T20" i="32"/>
  <c r="S21" i="32"/>
  <c r="R18" i="32"/>
  <c r="T19" i="32"/>
  <c r="R17" i="32"/>
  <c r="R19" i="32"/>
  <c r="R20" i="32"/>
  <c r="R21" i="32"/>
  <c r="S20" i="32"/>
  <c r="AR35" i="84" l="1"/>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<sst xmlns="http://schemas.openxmlformats.org/spreadsheetml/2006/main" count="2307" uniqueCount="788">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</sst>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
      <i/>
      <sz val="11"/>
      <name val="Calibri"/>
      <family val="2"/>
      <scheme val="minor"/>
    </font>
    <font>
      <b/>
      <sz val="14"/>
      <color rgb="FFFF0000"/>
      <name val="Calibri"/>
      <family val="2"/>
      <scheme val="minor"/>
    </font>
    <font>
      <b/>
      <sz val="26"/>
      <color rgb="FF000000"/>
      <name val="Calibri"/>
      <family val="2"/>
    </font>
    <font>
      <sz val="11"/>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109">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1" fillId="2" borderId="4" xfId="0" applyFont="1" applyFill="1" applyBorder="1" applyAlignment="1">
      <alignment horizontal="center" vertical="center" wrapText="1"/>
    </xf>
    <xf numFmtId="0" fontId="41" fillId="2" borderId="4" xfId="0" applyFont="1" applyFill="1" applyBorder="1" applyAlignment="1">
      <alignment vertical="center" wrapText="1"/>
    </xf>
    <xf numFmtId="0" fontId="0" fillId="2" borderId="0" xfId="0" applyNumberFormat="1" applyFill="1" applyBorder="1" applyAlignment="1">
      <alignment horizontal="center" vertical="center"/>
    </xf>
    <xf numFmtId="0" fontId="1" fillId="2" borderId="0" xfId="0" applyNumberFormat="1" applyFont="1" applyFill="1" applyBorder="1" applyAlignment="1">
      <alignment horizontal="center" vertical="center"/>
    </xf>
    <xf numFmtId="0" fontId="19" fillId="2" borderId="0" xfId="0" applyNumberFormat="1" applyFont="1" applyFill="1" applyBorder="1" applyAlignment="1">
      <alignment horizontal="center" vertical="center"/>
    </xf>
    <xf numFmtId="0" fontId="0" fillId="2" borderId="0" xfId="0" applyNumberFormat="1" applyFill="1" applyAlignment="1">
      <alignment horizontal="center" vertical="center"/>
    </xf>
    <xf numFmtId="0" fontId="11" fillId="3" borderId="15" xfId="0" applyNumberFormat="1" applyFont="1" applyFill="1" applyBorder="1" applyAlignment="1">
      <alignment horizontal="center" vertical="center"/>
    </xf>
    <xf numFmtId="2" fontId="21" fillId="2" borderId="10" xfId="0" applyNumberFormat="1" applyFont="1" applyFill="1" applyBorder="1"/>
    <xf numFmtId="0" fontId="10" fillId="2" borderId="0" xfId="0" applyNumberFormat="1" applyFont="1" applyFill="1" applyBorder="1" applyAlignment="1">
      <alignment horizontal="center" vertical="center"/>
    </xf>
    <xf numFmtId="0" fontId="0" fillId="2" borderId="0" xfId="0" applyNumberFormat="1" applyFont="1" applyFill="1" applyBorder="1" applyAlignment="1">
      <alignment horizontal="center" vertical="center"/>
    </xf>
    <xf numFmtId="0" fontId="0" fillId="2" borderId="0" xfId="8" applyNumberFormat="1" applyFont="1" applyFill="1" applyBorder="1" applyAlignment="1">
      <alignment horizontal="center" vertical="center"/>
    </xf>
    <xf numFmtId="0" fontId="0" fillId="2" borderId="10" xfId="0" applyNumberFormat="1" applyFill="1" applyBorder="1" applyAlignment="1">
      <alignment horizontal="center" vertical="center"/>
    </xf>
    <xf numFmtId="0" fontId="0" fillId="0" borderId="5" xfId="0" applyNumberFormat="1" applyFill="1" applyBorder="1" applyAlignment="1">
      <alignment horizontal="center" vertical="center" wrapText="1"/>
    </xf>
    <xf numFmtId="0" fontId="0" fillId="0" borderId="15"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0" fillId="0" borderId="7" xfId="0" applyNumberFormat="1" applyFill="1" applyBorder="1" applyAlignment="1">
      <alignment horizontal="center" vertical="center" wrapText="1"/>
    </xf>
    <xf numFmtId="0" fontId="0" fillId="0" borderId="9" xfId="0" applyNumberFormat="1" applyFill="1" applyBorder="1" applyAlignment="1">
      <alignment horizontal="center" vertical="center" wrapText="1"/>
    </xf>
    <xf numFmtId="0" fontId="0" fillId="0" borderId="8" xfId="0" applyNumberFormat="1" applyFill="1" applyBorder="1" applyAlignment="1">
      <alignment horizontal="center" vertical="center" wrapText="1"/>
    </xf>
    <xf numFmtId="0" fontId="0" fillId="0" borderId="0" xfId="0" applyNumberFormat="1" applyFill="1" applyBorder="1" applyAlignment="1">
      <alignment horizontal="center" vertical="center" wrapText="1"/>
    </xf>
    <xf numFmtId="0" fontId="0" fillId="0" borderId="10" xfId="0" applyNumberFormat="1" applyFill="1" applyBorder="1" applyAlignment="1">
      <alignment horizontal="center" vertical="center" wrapText="1"/>
    </xf>
    <xf numFmtId="0" fontId="0" fillId="0" borderId="11" xfId="0" applyNumberFormat="1" applyFill="1" applyBorder="1" applyAlignment="1">
      <alignment horizontal="center" vertical="center" wrapText="1"/>
    </xf>
    <xf numFmtId="0" fontId="0" fillId="0" borderId="14" xfId="0" applyNumberFormat="1" applyFill="1" applyBorder="1" applyAlignment="1">
      <alignment horizontal="center" vertical="center" wrapText="1"/>
    </xf>
    <xf numFmtId="0" fontId="0" fillId="0" borderId="12" xfId="0" applyNumberFormat="1" applyFill="1" applyBorder="1" applyAlignment="1">
      <alignment horizontal="center" vertical="center" wrapText="1"/>
    </xf>
    <xf numFmtId="0" fontId="0" fillId="0" borderId="13" xfId="0" applyNumberFormat="1" applyFill="1" applyBorder="1" applyAlignment="1">
      <alignment horizontal="center" vertical="center" wrapText="1"/>
    </xf>
    <xf numFmtId="0" fontId="23" fillId="2" borderId="0" xfId="0" applyNumberFormat="1" applyFont="1" applyFill="1" applyBorder="1" applyAlignment="1">
      <alignment horizontal="center" vertical="center"/>
    </xf>
    <xf numFmtId="0" fontId="23" fillId="0" borderId="0" xfId="0" applyNumberFormat="1" applyFont="1" applyBorder="1" applyAlignment="1">
      <alignment horizontal="center" vertical="center"/>
    </xf>
    <xf numFmtId="0" fontId="55" fillId="2" borderId="0" xfId="0" applyNumberFormat="1" applyFont="1" applyFill="1" applyBorder="1" applyAlignment="1">
      <alignment horizontal="center" vertical="center"/>
    </xf>
    <xf numFmtId="0" fontId="40" fillId="2" borderId="0" xfId="0" applyNumberFormat="1" applyFont="1" applyFill="1" applyBorder="1" applyAlignment="1">
      <alignment horizontal="center" vertical="center"/>
    </xf>
    <xf numFmtId="0" fontId="23" fillId="2" borderId="0" xfId="8" applyNumberFormat="1" applyFont="1" applyFill="1" applyBorder="1" applyAlignment="1">
      <alignment horizontal="center" vertical="center"/>
    </xf>
    <xf numFmtId="0" fontId="77" fillId="2" borderId="0" xfId="0" applyNumberFormat="1" applyFont="1" applyFill="1" applyBorder="1" applyAlignment="1">
      <alignment horizontal="center" vertical="center"/>
    </xf>
    <xf numFmtId="0" fontId="23" fillId="2" borderId="0" xfId="0" applyNumberFormat="1" applyFont="1" applyFill="1" applyAlignment="1">
      <alignment horizontal="center" vertical="center"/>
    </xf>
    <xf numFmtId="0" fontId="23" fillId="2" borderId="10" xfId="0" applyNumberFormat="1" applyFont="1" applyFill="1" applyBorder="1" applyAlignment="1">
      <alignment horizontal="center" vertical="center"/>
    </xf>
    <xf numFmtId="0" fontId="62" fillId="3" borderId="15" xfId="0" applyNumberFormat="1" applyFont="1" applyFill="1" applyBorder="1" applyAlignment="1">
      <alignment horizontal="center" vertical="center"/>
    </xf>
    <xf numFmtId="0" fontId="23" fillId="0" borderId="5" xfId="0" applyNumberFormat="1" applyFont="1" applyFill="1" applyBorder="1" applyAlignment="1">
      <alignment horizontal="center" vertical="center" wrapText="1"/>
    </xf>
    <xf numFmtId="0" fontId="23" fillId="0" borderId="15" xfId="0" applyNumberFormat="1" applyFont="1" applyFill="1" applyBorder="1" applyAlignment="1">
      <alignment horizontal="center" vertical="center" wrapText="1"/>
    </xf>
    <xf numFmtId="0" fontId="23" fillId="0" borderId="6" xfId="0" applyNumberFormat="1" applyFont="1" applyFill="1" applyBorder="1" applyAlignment="1">
      <alignment horizontal="center" vertical="center" wrapText="1"/>
    </xf>
    <xf numFmtId="0" fontId="23" fillId="0" borderId="7" xfId="0" applyNumberFormat="1" applyFont="1" applyFill="1" applyBorder="1" applyAlignment="1">
      <alignment horizontal="center" vertical="center" wrapText="1"/>
    </xf>
    <xf numFmtId="0" fontId="23" fillId="0" borderId="9" xfId="0" applyNumberFormat="1" applyFont="1" applyFill="1" applyBorder="1" applyAlignment="1">
      <alignment horizontal="center" vertical="center" wrapText="1"/>
    </xf>
    <xf numFmtId="0" fontId="23" fillId="0" borderId="8" xfId="0" applyNumberFormat="1" applyFont="1" applyFill="1" applyBorder="1" applyAlignment="1">
      <alignment horizontal="center" vertical="center" wrapText="1"/>
    </xf>
    <xf numFmtId="0" fontId="23" fillId="0" borderId="0" xfId="0" applyNumberFormat="1" applyFont="1" applyFill="1" applyBorder="1" applyAlignment="1">
      <alignment horizontal="center" vertical="center" wrapText="1"/>
    </xf>
    <xf numFmtId="0" fontId="23" fillId="0" borderId="10" xfId="0" applyNumberFormat="1" applyFont="1" applyFill="1" applyBorder="1" applyAlignment="1">
      <alignment horizontal="center" vertical="center" wrapText="1"/>
    </xf>
    <xf numFmtId="0" fontId="23" fillId="0" borderId="11" xfId="0" applyNumberFormat="1" applyFont="1" applyFill="1" applyBorder="1" applyAlignment="1">
      <alignment horizontal="center" vertical="center" wrapText="1"/>
    </xf>
    <xf numFmtId="0" fontId="23" fillId="0" borderId="14" xfId="0" applyNumberFormat="1" applyFont="1" applyFill="1" applyBorder="1" applyAlignment="1">
      <alignment horizontal="center" vertical="center" wrapText="1"/>
    </xf>
    <xf numFmtId="0" fontId="23" fillId="0" borderId="12" xfId="0" applyNumberFormat="1" applyFont="1" applyFill="1" applyBorder="1" applyAlignment="1">
      <alignment horizontal="center" vertical="center" wrapText="1"/>
    </xf>
    <xf numFmtId="0" fontId="23" fillId="0" borderId="13" xfId="0" applyNumberFormat="1" applyFont="1" applyFill="1" applyBorder="1" applyAlignment="1">
      <alignment horizontal="center" vertical="center" wrapText="1"/>
    </xf>
    <xf numFmtId="0" fontId="23" fillId="3" borderId="14" xfId="0" applyFont="1" applyFill="1" applyBorder="1" applyAlignment="1">
      <alignment horizontal="center" vertical="center"/>
    </xf>
    <xf numFmtId="0" fontId="50" fillId="0" borderId="4" xfId="6" applyFont="1" applyFill="1" applyBorder="1" applyAlignment="1">
      <alignment horizontal="center" vertical="center"/>
    </xf>
    <xf numFmtId="0" fontId="78" fillId="0" borderId="4" xfId="6" applyFont="1" applyFill="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6" applyFont="1" applyFill="1" applyAlignment="1">
      <alignment horizontal="center" vertical="center"/>
    </xf>
    <xf numFmtId="0" fontId="80" fillId="2" borderId="0" xfId="6" applyFont="1" applyFill="1" applyAlignment="1">
      <alignment horizontal="center" vertical="center"/>
    </xf>
    <xf numFmtId="0" fontId="23" fillId="2" borderId="0" xfId="0" applyFont="1" applyFill="1" applyAlignment="1">
      <alignment horizontal="center" vertical="center"/>
    </xf>
    <xf numFmtId="0" fontId="80" fillId="2" borderId="0" xfId="0" applyFont="1" applyFill="1" applyAlignment="1">
      <alignment horizontal="center" vertical="center"/>
    </xf>
    <xf numFmtId="2" fontId="23" fillId="2" borderId="0" xfId="0" applyNumberFormat="1" applyFont="1" applyFill="1" applyAlignment="1">
      <alignment horizontal="center" vertical="center"/>
    </xf>
    <xf numFmtId="0" fontId="0" fillId="2" borderId="0" xfId="0" applyNumberFormat="1" applyFont="1" applyFill="1" applyAlignment="1">
      <alignment horizontal="center" vertical="center"/>
    </xf>
    <xf numFmtId="0" fontId="0" fillId="0" borderId="0" xfId="0" applyNumberFormat="1" applyFont="1" applyAlignment="1">
      <alignment horizontal="center" vertical="center"/>
    </xf>
    <xf numFmtId="2" fontId="0" fillId="2" borderId="5" xfId="0" applyNumberFormat="1" applyFont="1" applyFill="1" applyBorder="1" applyAlignment="1">
      <alignment horizontal="center" vertical="center"/>
    </xf>
    <xf numFmtId="2" fontId="0" fillId="2" borderId="7" xfId="0" applyNumberFormat="1" applyFont="1" applyFill="1" applyBorder="1" applyAlignment="1">
      <alignment horizontal="center" vertical="center"/>
    </xf>
    <xf numFmtId="2" fontId="0" fillId="2" borderId="6"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2" borderId="9" xfId="0" applyNumberFormat="1" applyFont="1" applyFill="1" applyBorder="1" applyAlignment="1">
      <alignment horizontal="center" vertical="center"/>
    </xf>
    <xf numFmtId="2" fontId="0" fillId="2" borderId="10" xfId="0" applyNumberFormat="1" applyFont="1" applyFill="1" applyBorder="1" applyAlignment="1">
      <alignment horizontal="center" vertical="center"/>
    </xf>
    <xf numFmtId="2" fontId="0" fillId="2" borderId="0" xfId="0" applyNumberFormat="1" applyFont="1" applyFill="1" applyBorder="1" applyAlignment="1">
      <alignment horizontal="center" vertical="center"/>
    </xf>
    <xf numFmtId="2" fontId="0" fillId="2" borderId="11" xfId="0" applyNumberFormat="1" applyFont="1" applyFill="1" applyBorder="1" applyAlignment="1">
      <alignment horizontal="center" vertical="center"/>
    </xf>
    <xf numFmtId="2" fontId="0" fillId="2" borderId="13" xfId="0" applyNumberFormat="1" applyFont="1" applyFill="1" applyBorder="1" applyAlignment="1">
      <alignment horizontal="center" vertical="center"/>
    </xf>
    <xf numFmtId="2" fontId="0" fillId="2" borderId="12" xfId="0" applyNumberFormat="1" applyFont="1" applyFill="1" applyBorder="1" applyAlignment="1">
      <alignment horizontal="center" vertical="center"/>
    </xf>
    <xf numFmtId="2" fontId="0" fillId="0" borderId="0" xfId="0" applyNumberFormat="1" applyFont="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62" fillId="6" borderId="5" xfId="0" applyNumberFormat="1" applyFont="1" applyFill="1" applyBorder="1" applyAlignment="1">
      <alignment horizontal="center" vertical="center"/>
    </xf>
    <xf numFmtId="0" fontId="62" fillId="6" borderId="6" xfId="0" applyNumberFormat="1" applyFont="1" applyFill="1" applyBorder="1" applyAlignment="1">
      <alignment horizontal="center" vertical="center"/>
    </xf>
    <xf numFmtId="0" fontId="62" fillId="6" borderId="7" xfId="0" applyNumberFormat="1"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1" fillId="6" borderId="5" xfId="0" applyNumberFormat="1" applyFont="1" applyFill="1" applyBorder="1" applyAlignment="1">
      <alignment horizontal="center" vertical="center"/>
    </xf>
    <xf numFmtId="0" fontId="11" fillId="6" borderId="6" xfId="0" applyNumberFormat="1" applyFont="1" applyFill="1" applyBorder="1" applyAlignment="1">
      <alignment horizontal="center" vertical="center"/>
    </xf>
    <xf numFmtId="0" fontId="11" fillId="6" borderId="7" xfId="0" applyNumberFormat="1"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73" fillId="2" borderId="4"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0" fillId="4"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0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57</xdr:row>
          <xdr:rowOff>7620</xdr:rowOff>
        </xdr:from>
        <xdr:to>
          <xdr:col>18</xdr:col>
          <xdr:colOff>1150620</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60</xdr:row>
          <xdr:rowOff>7620</xdr:rowOff>
        </xdr:from>
        <xdr:to>
          <xdr:col>18</xdr:col>
          <xdr:colOff>1150620</xdr:colOff>
          <xdr:row>61</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63</xdr:row>
          <xdr:rowOff>0</xdr:rowOff>
        </xdr:from>
        <xdr:to>
          <xdr:col>18</xdr:col>
          <xdr:colOff>1143000</xdr:colOff>
          <xdr:row>64</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66</xdr:row>
          <xdr:rowOff>7620</xdr:rowOff>
        </xdr:from>
        <xdr:to>
          <xdr:col>18</xdr:col>
          <xdr:colOff>1150620</xdr:colOff>
          <xdr:row>67</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69</xdr:row>
          <xdr:rowOff>7620</xdr:rowOff>
        </xdr:from>
        <xdr:to>
          <xdr:col>18</xdr:col>
          <xdr:colOff>1143000</xdr:colOff>
          <xdr:row>70</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07" dataDxfId="305" headerRowBorderDxfId="306" tableBorderDxfId="304">
  <autoFilter ref="AE6:AE7" xr:uid="{BD430C73-D62B-4B34-81C6-4CB5D46BEDB9}">
    <filterColumn colId="0" hiddenButton="1"/>
  </autoFilter>
  <tableColumns count="1">
    <tableColumn id="1" xr3:uid="{84F9157D-4D99-4CBA-AAD8-CC3862882A85}" name="Stream" dataDxfId="30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02" dataDxfId="300" headerRowBorderDxfId="301" tableBorderDxfId="299" totalsRowBorderDxfId="298">
  <autoFilter ref="AG6:AG7" xr:uid="{510DCB59-50DF-48D5-B930-238A03E9FB6D}">
    <filterColumn colId="0" hiddenButton="1"/>
  </autoFilter>
  <tableColumns count="1">
    <tableColumn id="1" xr3:uid="{0220A6D5-F39F-488C-949A-4AABD7B530C9}" name="Component 1" dataDxfId="29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96" dataDxfId="294" headerRowBorderDxfId="295" tableBorderDxfId="293" totalsRowBorderDxfId="292">
  <autoFilter ref="AF6:AF7" xr:uid="{1E496B6B-9D2B-467B-B1BC-B30D13381E1A}">
    <filterColumn colId="0" hiddenButton="1"/>
  </autoFilter>
  <tableColumns count="1">
    <tableColumn id="1" xr3:uid="{876249EE-102A-4A6F-80BD-15A7B17749BB}" name="Property 1" dataDxfId="29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90" dataDxfId="288" headerRowBorderDxfId="289" tableBorderDxfId="287">
  <autoFilter ref="D12:D43" xr:uid="{54D9AD24-3255-47F8-8858-1911F353046A}">
    <filterColumn colId="0" hiddenButton="1"/>
  </autoFilter>
  <tableColumns count="1">
    <tableColumn id="1" xr3:uid="{A355DF28-B822-4D21-91F3-9DBB6C59828A}" name="Equipment" dataDxfId="28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85" dataDxfId="283" headerRowBorderDxfId="284" tableBorderDxfId="282">
  <autoFilter ref="E12:E43" xr:uid="{E7DD97D0-07C4-49A5-A08A-CD158C5E4B0A}">
    <filterColumn colId="0" hiddenButton="1"/>
  </autoFilter>
  <tableColumns count="1">
    <tableColumn id="1" xr3:uid="{6FE28B51-AB7B-4376-A0AF-515604CD3E9B}" name="Subtype" dataDxfId="28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80" headerRowBorderDxfId="279" tableBorderDxfId="27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77" dataDxfId="275" headerRowBorderDxfId="276" tableBorderDxfId="274">
  <autoFilter ref="D12:D43" xr:uid="{54D9AD24-3255-47F8-8858-1911F353046A}">
    <filterColumn colId="0" hiddenButton="1"/>
  </autoFilter>
  <tableColumns count="1">
    <tableColumn id="1" xr3:uid="{D8802F60-8DD4-42B1-8525-E702B22D8DC1}" name="Equipment" dataDxfId="27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72" dataDxfId="270" headerRowBorderDxfId="271" tableBorderDxfId="269">
  <autoFilter ref="E12:E43" xr:uid="{E7DD97D0-07C4-49A5-A08A-CD158C5E4B0A}">
    <filterColumn colId="0" hiddenButton="1"/>
  </autoFilter>
  <tableColumns count="1">
    <tableColumn id="1" xr3:uid="{7ADAE72C-EC1C-45F5-BA0E-D2E723C5BE55}" name="Subtype" dataDxfId="26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67" headerRowBorderDxfId="266" tableBorderDxfId="26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64" dataDxfId="262" headerRowBorderDxfId="263" tableBorderDxfId="26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60" totalsRowDxfId="259"/>
    <tableColumn id="2" xr3:uid="{4D82A35B-4189-4719-BB3C-4D34D7E09642}" name="Item 2" dataDxfId="258" totalsRowDxfId="257">
      <calculatedColumnFormula>+#REF!+#REF!</calculatedColumnFormula>
    </tableColumn>
    <tableColumn id="3" xr3:uid="{031D8C80-7B65-48B3-95DE-EBBD12D602AA}" name="Item 3" dataDxfId="256" totalsRowDxfId="255"/>
    <tableColumn id="4" xr3:uid="{76940428-0803-44F4-9D2F-7A17429945D0}" name="Item 4" dataDxfId="254" totalsRowDxfId="253"/>
    <tableColumn id="22" xr3:uid="{118B0DE5-F4D6-41BA-B022-A7A53FBE109A}" name="Total" dataDxfId="252" totalsRowDxfId="25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50" dataDxfId="248" headerRowBorderDxfId="249" tableBorderDxfId="24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46"/>
    <tableColumn id="2" xr3:uid="{A2FE6D58-DE8B-428E-BCCE-879A37C47E6E}" name="Item 2" dataDxfId="245"/>
    <tableColumn id="3" xr3:uid="{7925CDB2-450B-4481-AAF3-C97257BEAACF}" name="Item 3" dataDxfId="244"/>
    <tableColumn id="4" xr3:uid="{04880DFB-6CC9-4F3A-8D86-4D2CF229564A}" name="Item 4" dataDxfId="24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42" dataDxfId="240" headerRowBorderDxfId="241" tableBorderDxfId="23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38"/>
    <tableColumn id="2" xr3:uid="{9B4C5D61-F713-41FC-B7C7-9F077DE82275}" name="Value" dataDxfId="237"/>
    <tableColumn id="3" xr3:uid="{A4C06DCA-E860-4A4F-B152-665585967753}" name="unit/year" dataDxfId="236"/>
    <tableColumn id="4" xr3:uid="{CCA6FF56-D426-420F-BF2F-A692827F42E1}" name="Specific Cost" dataDxfId="235"/>
    <tableColumn id="5" xr3:uid="{4648B13C-CDDA-4B0E-ABF0-FBA2AFA9D245}" name="cost/unit" dataDxfId="234"/>
    <tableColumn id="6" xr3:uid="{F22C8FA2-C58A-42CD-927E-2B28BD9711A6}" name="cost/year" dataDxfId="23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2" headerRowBorderDxfId="231" tableBorderDxfId="23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29"/>
    <tableColumn id="2" xr3:uid="{332EA6EB-8C1E-4D46-8464-EFCB65EA23A5}" name="Value" dataDxfId="228"/>
    <tableColumn id="3" xr3:uid="{BAEA2EAA-B867-4C8B-926B-D331C449D698}" name="unit/year" dataDxfId="227"/>
    <tableColumn id="4" xr3:uid="{23D264B9-CD6B-4F68-92FC-49B00E384F23}" name="Specific Cost" dataDxfId="226"/>
    <tableColumn id="5" xr3:uid="{00D8C109-8039-47C9-A54A-67B25387E9D5}" name="cost/unit" dataDxfId="225"/>
    <tableColumn id="6" xr3:uid="{526DA783-5211-4718-AFCF-98B7F83F959A}" name="cost/year" dataDxfId="22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23" headerRowBorderDxfId="222" tableBorderDxfId="22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0"/>
    <tableColumn id="2" xr3:uid="{C2D6BCEA-8C9D-49FB-BFC1-D70F1AF96B3C}" name="Value" dataDxfId="219"/>
    <tableColumn id="3" xr3:uid="{1E8C5934-680E-4CE8-BF03-307BA777810C}" name="unit/year" dataDxfId="218"/>
    <tableColumn id="4" xr3:uid="{F602E6B3-7A75-49BA-AF4A-D607E8EFA18E}" name="Specific Cost" dataDxfId="217"/>
    <tableColumn id="5" xr3:uid="{B0FD65F7-3D14-410A-871D-F32A1D988FCC}" name="cost/unit"/>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15" dataDxfId="213" headerRowBorderDxfId="214" tableBorderDxfId="21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11"/>
    <tableColumn id="8" xr3:uid="{13962B58-5507-471A-BF41-DB3D247F2EB8}" name="Units - Ind." dataDxfId="210" dataCellStyle="Normal 2 2"/>
    <tableColumn id="7" xr3:uid="{7F18E2CB-07BE-41AD-B637-10F7EE62D6EB}" name="Man. Var." dataDxfId="209"/>
    <tableColumn id="9" xr3:uid="{574E43A6-8486-40C7-B651-1962EA7E4007}" name="Units - Man." dataDxfId="208"/>
    <tableColumn id="1" xr3:uid="{C7FD6883-4D11-441B-8033-2F5638C288AB}" name="Ind. Var." dataDxfId="207"/>
    <tableColumn id="2" xr3:uid="{2B96A6EB-3DCE-4ACF-BE25-AD6563C6EACD}" name="Man. Var" dataDxfId="206"/>
    <tableColumn id="10" xr3:uid="{91912897-20E6-402F-8EC7-CB60E9298E64}" name="Base" dataDxfId="205"/>
    <tableColumn id="3" xr3:uid="{3841FCC4-9A9A-4F1B-B6BA-E8710FF67200}" name="Increment" dataDxfId="204"/>
    <tableColumn id="4" xr3:uid="{6476EB88-DCAC-414F-916E-8EFFE60F9B01}" name="nº of points" dataDxfId="203"/>
    <tableColumn id="5" xr3:uid="{1838860E-1D28-4712-AF3D-C97316DBDF49}" name="Initial" dataDxfId="20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3.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11" Type="http://schemas.openxmlformats.org/officeDocument/2006/relationships/table" Target="../tables/table12.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7.xml"/><Relationship Id="rId7" Type="http://schemas.openxmlformats.org/officeDocument/2006/relationships/ctrlProp" Target="../ctrlProps/ctrlProp31.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0.xml"/><Relationship Id="rId5" Type="http://schemas.openxmlformats.org/officeDocument/2006/relationships/ctrlProp" Target="../ctrlProps/ctrlProp29.xml"/><Relationship Id="rId10" Type="http://schemas.openxmlformats.org/officeDocument/2006/relationships/comments" Target="../comments3.xml"/><Relationship Id="rId4" Type="http://schemas.openxmlformats.org/officeDocument/2006/relationships/ctrlProp" Target="../ctrlProps/ctrlProp28.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38.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1.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8.xml"/><Relationship Id="rId7" Type="http://schemas.openxmlformats.org/officeDocument/2006/relationships/table" Target="../tables/table82.xml"/><Relationship Id="rId2" Type="http://schemas.openxmlformats.org/officeDocument/2006/relationships/table" Target="../tables/table77.xml"/><Relationship Id="rId1" Type="http://schemas.openxmlformats.org/officeDocument/2006/relationships/vmlDrawing" Target="../drawings/vmlDrawing14.vml"/><Relationship Id="rId6" Type="http://schemas.openxmlformats.org/officeDocument/2006/relationships/table" Target="../tables/table81.xml"/><Relationship Id="rId5" Type="http://schemas.openxmlformats.org/officeDocument/2006/relationships/table" Target="../tables/table80.xml"/><Relationship Id="rId4" Type="http://schemas.openxmlformats.org/officeDocument/2006/relationships/table" Target="../tables/table79.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03"/>
      <c r="C2" s="328"/>
      <c r="D2" s="641"/>
      <c r="E2" s="641"/>
      <c r="F2" s="641"/>
      <c r="G2" s="641"/>
      <c r="H2" s="641"/>
      <c r="I2" s="641"/>
      <c r="J2" s="641"/>
      <c r="K2" s="641"/>
      <c r="L2" s="641"/>
      <c r="M2" s="641"/>
      <c r="N2" s="641"/>
      <c r="O2" s="641"/>
      <c r="P2" s="641"/>
      <c r="Q2" s="641"/>
      <c r="R2" s="641"/>
      <c r="S2" s="641"/>
      <c r="T2" s="641"/>
      <c r="U2" s="641"/>
      <c r="V2" s="641"/>
      <c r="W2" s="641"/>
      <c r="X2" s="641"/>
      <c r="Y2" s="641"/>
      <c r="Z2" s="642"/>
      <c r="AA2" s="718"/>
      <c r="AB2" s="859" t="s">
        <v>743</v>
      </c>
      <c r="AC2" s="860"/>
      <c r="AD2" s="861"/>
      <c r="AE2" s="718"/>
      <c r="AF2" s="718"/>
    </row>
    <row r="3" spans="2:32" ht="18" customHeight="1" x14ac:dyDescent="0.3">
      <c r="B3" s="91"/>
      <c r="C3" s="862" t="s">
        <v>704</v>
      </c>
      <c r="D3" s="863"/>
      <c r="E3" s="863"/>
      <c r="F3" s="863"/>
      <c r="G3" s="863"/>
      <c r="H3" s="863"/>
      <c r="I3" s="863"/>
      <c r="J3" s="863"/>
      <c r="K3" s="863"/>
      <c r="L3" s="863"/>
      <c r="M3" s="863"/>
      <c r="N3" s="863"/>
      <c r="O3" s="863"/>
      <c r="P3" s="863"/>
      <c r="Q3" s="863"/>
      <c r="R3" s="863"/>
      <c r="S3" s="863"/>
      <c r="T3" s="863"/>
      <c r="U3" s="863"/>
      <c r="V3" s="863"/>
      <c r="W3" s="863"/>
      <c r="X3" s="863"/>
      <c r="Y3" s="864"/>
      <c r="Z3" s="652"/>
      <c r="AA3" s="719"/>
      <c r="AB3" s="188" t="s">
        <v>360</v>
      </c>
      <c r="AC3" s="188" t="s">
        <v>744</v>
      </c>
      <c r="AD3" s="188" t="s">
        <v>745</v>
      </c>
      <c r="AE3" s="719"/>
      <c r="AF3" s="718"/>
    </row>
    <row r="4" spans="2:32" ht="18" customHeight="1" x14ac:dyDescent="0.3">
      <c r="B4" s="91"/>
      <c r="C4" s="865"/>
      <c r="D4" s="866"/>
      <c r="E4" s="866"/>
      <c r="F4" s="866"/>
      <c r="G4" s="866"/>
      <c r="H4" s="866"/>
      <c r="I4" s="866"/>
      <c r="J4" s="866"/>
      <c r="K4" s="866"/>
      <c r="L4" s="866"/>
      <c r="M4" s="866"/>
      <c r="N4" s="866"/>
      <c r="O4" s="866"/>
      <c r="P4" s="866"/>
      <c r="Q4" s="866"/>
      <c r="R4" s="866"/>
      <c r="S4" s="866"/>
      <c r="T4" s="866"/>
      <c r="U4" s="866"/>
      <c r="V4" s="866"/>
      <c r="W4" s="866"/>
      <c r="X4" s="866"/>
      <c r="Y4" s="867"/>
      <c r="Z4" s="643"/>
      <c r="AA4" s="718"/>
      <c r="AB4" s="754"/>
      <c r="AC4" s="757"/>
      <c r="AD4" s="716"/>
      <c r="AE4" s="718"/>
      <c r="AF4" s="718"/>
    </row>
    <row r="5" spans="2:32" ht="18" customHeight="1" x14ac:dyDescent="0.3">
      <c r="B5" s="91"/>
      <c r="C5" s="868"/>
      <c r="D5" s="869"/>
      <c r="E5" s="869"/>
      <c r="F5" s="869"/>
      <c r="G5" s="869"/>
      <c r="H5" s="869"/>
      <c r="I5" s="869"/>
      <c r="J5" s="869"/>
      <c r="K5" s="869"/>
      <c r="L5" s="869"/>
      <c r="M5" s="869"/>
      <c r="N5" s="869"/>
      <c r="O5" s="869"/>
      <c r="P5" s="869"/>
      <c r="Q5" s="869"/>
      <c r="R5" s="869"/>
      <c r="S5" s="869"/>
      <c r="T5" s="869"/>
      <c r="U5" s="869"/>
      <c r="V5" s="869"/>
      <c r="W5" s="869"/>
      <c r="X5" s="869"/>
      <c r="Y5" s="870"/>
      <c r="Z5" s="643"/>
      <c r="AA5" s="718"/>
      <c r="AB5" s="755"/>
      <c r="AC5" s="758"/>
      <c r="AD5" s="716"/>
      <c r="AE5" s="718"/>
      <c r="AF5" s="718"/>
    </row>
    <row r="6" spans="2:32" ht="18" customHeight="1" x14ac:dyDescent="0.3">
      <c r="B6" s="91"/>
      <c r="C6" s="718"/>
      <c r="D6" s="718"/>
      <c r="E6" s="718"/>
      <c r="F6" s="718"/>
      <c r="G6" s="718"/>
      <c r="H6" s="718"/>
      <c r="I6" s="718"/>
      <c r="J6" s="718"/>
      <c r="M6" s="720"/>
      <c r="N6" s="720"/>
      <c r="O6" s="720"/>
      <c r="P6" s="718"/>
      <c r="R6" s="718"/>
      <c r="S6" s="718"/>
      <c r="T6" s="718"/>
      <c r="Y6" s="718"/>
      <c r="Z6" s="643"/>
      <c r="AA6" s="718"/>
      <c r="AB6" s="755"/>
      <c r="AC6" s="758"/>
      <c r="AD6" s="716"/>
      <c r="AE6" s="718"/>
      <c r="AF6" s="718"/>
    </row>
    <row r="7" spans="2:32" ht="18" customHeight="1" x14ac:dyDescent="0.35">
      <c r="B7" s="91"/>
      <c r="C7" s="718"/>
      <c r="D7" s="718"/>
      <c r="E7" s="718"/>
      <c r="H7" s="721"/>
      <c r="I7" s="722"/>
      <c r="J7" s="656"/>
      <c r="K7" s="723"/>
      <c r="L7" s="724" t="s">
        <v>709</v>
      </c>
      <c r="M7" s="723"/>
      <c r="N7" s="723"/>
      <c r="O7" s="723"/>
      <c r="P7" s="656"/>
      <c r="R7" s="722"/>
      <c r="S7" s="722"/>
      <c r="T7" s="722"/>
      <c r="Y7" s="718"/>
      <c r="Z7" s="643"/>
      <c r="AA7" s="718"/>
      <c r="AB7" s="755"/>
      <c r="AC7" s="758"/>
      <c r="AD7" s="716"/>
      <c r="AE7" s="718"/>
      <c r="AF7" s="718"/>
    </row>
    <row r="8" spans="2:32" ht="18" customHeight="1" x14ac:dyDescent="0.35">
      <c r="B8" s="91"/>
      <c r="C8" s="718"/>
      <c r="J8" s="656"/>
      <c r="K8" s="723"/>
      <c r="L8" s="724" t="s">
        <v>701</v>
      </c>
      <c r="M8" s="723"/>
      <c r="N8" s="723"/>
      <c r="O8" s="723"/>
      <c r="P8" s="656"/>
      <c r="Z8" s="84"/>
      <c r="AB8" s="755"/>
      <c r="AC8" s="758"/>
      <c r="AD8" s="716"/>
      <c r="AF8" s="718"/>
    </row>
    <row r="9" spans="2:32" ht="18" customHeight="1" x14ac:dyDescent="0.35">
      <c r="B9" s="91"/>
      <c r="C9" s="718"/>
      <c r="J9" s="723"/>
      <c r="K9" s="723"/>
      <c r="L9" s="724" t="s">
        <v>702</v>
      </c>
      <c r="M9" s="656"/>
      <c r="N9" s="656"/>
      <c r="O9" s="656"/>
      <c r="P9" s="656"/>
      <c r="Z9" s="84"/>
      <c r="AB9" s="755"/>
      <c r="AC9" s="758"/>
      <c r="AD9" s="716"/>
      <c r="AF9" s="718"/>
    </row>
    <row r="10" spans="2:32" ht="18" customHeight="1" x14ac:dyDescent="0.3">
      <c r="B10" s="91"/>
      <c r="C10" s="718"/>
      <c r="D10" s="718"/>
      <c r="E10" s="718"/>
      <c r="F10" s="718"/>
      <c r="L10" s="721"/>
      <c r="R10" s="722"/>
      <c r="S10" s="722"/>
      <c r="T10" s="722"/>
      <c r="U10" s="722"/>
      <c r="V10" s="722"/>
      <c r="W10" s="722"/>
      <c r="X10" s="718"/>
      <c r="Y10" s="718"/>
      <c r="Z10" s="643"/>
      <c r="AA10" s="718"/>
      <c r="AB10" s="755"/>
      <c r="AC10" s="758"/>
      <c r="AD10" s="716"/>
      <c r="AE10" s="718"/>
      <c r="AF10" s="718"/>
    </row>
    <row r="11" spans="2:32" ht="18" customHeight="1" x14ac:dyDescent="0.35">
      <c r="B11" s="91"/>
      <c r="C11" s="718"/>
      <c r="D11" s="718"/>
      <c r="E11" s="718"/>
      <c r="F11" s="718"/>
      <c r="G11" s="718"/>
      <c r="H11" s="718"/>
      <c r="I11" s="725"/>
      <c r="J11" s="655"/>
      <c r="K11" s="655"/>
      <c r="L11" s="726" t="s">
        <v>746</v>
      </c>
      <c r="M11" s="726"/>
      <c r="N11" s="726"/>
      <c r="O11" s="726"/>
      <c r="P11" s="726"/>
      <c r="Q11" s="726"/>
      <c r="R11" s="721"/>
      <c r="S11" s="249"/>
      <c r="T11" s="718"/>
      <c r="U11" s="718"/>
      <c r="V11" s="718"/>
      <c r="W11" s="718"/>
      <c r="X11" s="718"/>
      <c r="Y11" s="718"/>
      <c r="Z11" s="643"/>
      <c r="AA11" s="718"/>
      <c r="AB11" s="755"/>
      <c r="AC11" s="758"/>
      <c r="AD11" s="716"/>
      <c r="AE11" s="718"/>
      <c r="AF11" s="718"/>
    </row>
    <row r="12" spans="2:32" ht="18" customHeight="1" x14ac:dyDescent="0.35">
      <c r="B12" s="91"/>
      <c r="C12" s="718"/>
      <c r="I12" s="653"/>
      <c r="J12" s="727"/>
      <c r="K12" s="655"/>
      <c r="L12" s="726" t="s">
        <v>703</v>
      </c>
      <c r="M12" s="728"/>
      <c r="N12" s="728"/>
      <c r="O12" s="728"/>
      <c r="P12" s="728"/>
      <c r="Q12" s="728"/>
      <c r="R12" s="729"/>
      <c r="S12" s="249"/>
      <c r="T12" s="718"/>
      <c r="U12" s="718"/>
      <c r="V12" s="718"/>
      <c r="W12" s="718"/>
      <c r="X12" s="718"/>
      <c r="Y12" s="718"/>
      <c r="Z12" s="643"/>
      <c r="AA12" s="718"/>
      <c r="AB12" s="755"/>
      <c r="AC12" s="758"/>
      <c r="AD12" s="716"/>
      <c r="AE12" s="718"/>
      <c r="AF12" s="718"/>
    </row>
    <row r="13" spans="2:32" ht="18" customHeight="1" x14ac:dyDescent="0.3">
      <c r="B13" s="91"/>
      <c r="C13" s="718"/>
      <c r="I13" s="654"/>
      <c r="J13" s="730"/>
      <c r="K13" s="654"/>
      <c r="L13" s="731" t="s">
        <v>716</v>
      </c>
      <c r="M13" s="731"/>
      <c r="N13" s="731"/>
      <c r="O13" s="731"/>
      <c r="P13" s="731"/>
      <c r="Q13" s="731"/>
      <c r="R13" s="731"/>
      <c r="S13" s="731"/>
      <c r="T13" s="730"/>
      <c r="U13" s="718"/>
      <c r="V13" s="718"/>
      <c r="W13" s="718"/>
      <c r="X13" s="718"/>
      <c r="Y13" s="718"/>
      <c r="Z13" s="643"/>
      <c r="AA13" s="718"/>
      <c r="AB13" s="755"/>
      <c r="AC13" s="758"/>
      <c r="AD13" s="716"/>
      <c r="AE13" s="718"/>
      <c r="AF13" s="718"/>
    </row>
    <row r="14" spans="2:32" ht="18" customHeight="1" x14ac:dyDescent="0.3">
      <c r="B14" s="91"/>
      <c r="C14" s="718"/>
      <c r="J14" s="718"/>
      <c r="K14" s="718"/>
      <c r="L14" s="718"/>
      <c r="M14" s="718"/>
      <c r="N14" s="718"/>
      <c r="O14" s="718"/>
      <c r="P14" s="718"/>
      <c r="Q14" s="718"/>
      <c r="R14" s="718"/>
      <c r="S14" s="718"/>
      <c r="Y14" s="718"/>
      <c r="Z14" s="643"/>
      <c r="AA14" s="718"/>
      <c r="AB14" s="755"/>
      <c r="AC14" s="758"/>
      <c r="AD14" s="716"/>
      <c r="AE14" s="718"/>
      <c r="AF14" s="718"/>
    </row>
    <row r="15" spans="2:32" ht="18" customHeight="1" x14ac:dyDescent="0.3">
      <c r="B15" s="91"/>
      <c r="C15" s="879" t="s">
        <v>719</v>
      </c>
      <c r="D15" s="880"/>
      <c r="E15" s="881"/>
      <c r="F15" s="882" t="s">
        <v>773</v>
      </c>
      <c r="G15" s="883"/>
      <c r="H15" s="883"/>
      <c r="I15" s="883"/>
      <c r="J15" s="883"/>
      <c r="K15" s="883"/>
      <c r="L15" s="883"/>
      <c r="M15" s="883"/>
      <c r="N15" s="883"/>
      <c r="O15" s="883"/>
      <c r="P15" s="883"/>
      <c r="Q15" s="883"/>
      <c r="R15" s="883"/>
      <c r="S15" s="883"/>
      <c r="T15" s="883"/>
      <c r="U15" s="883"/>
      <c r="V15" s="883"/>
      <c r="W15" s="883"/>
      <c r="X15" s="883"/>
      <c r="Y15" s="884"/>
      <c r="Z15" s="84"/>
      <c r="AB15" s="755"/>
      <c r="AC15" s="758"/>
      <c r="AD15" s="716"/>
      <c r="AF15" s="718"/>
    </row>
    <row r="16" spans="2:32" ht="18" customHeight="1" x14ac:dyDescent="0.3">
      <c r="B16" s="91"/>
      <c r="C16" s="718"/>
      <c r="D16" s="718"/>
      <c r="E16" s="718"/>
      <c r="F16" s="718"/>
      <c r="G16" s="718"/>
      <c r="H16" s="718"/>
      <c r="I16" s="718"/>
      <c r="J16" s="718"/>
      <c r="K16" s="718"/>
      <c r="L16" s="718"/>
      <c r="M16" s="718"/>
      <c r="N16" s="718"/>
      <c r="O16" s="718"/>
      <c r="P16" s="718"/>
      <c r="Q16" s="718"/>
      <c r="R16" s="718"/>
      <c r="S16" s="718"/>
      <c r="T16" s="718"/>
      <c r="U16" s="718"/>
      <c r="V16" s="718"/>
      <c r="W16" s="718"/>
      <c r="X16" s="718"/>
      <c r="Y16" s="718"/>
      <c r="Z16" s="643"/>
      <c r="AA16" s="718"/>
      <c r="AB16" s="755"/>
      <c r="AC16" s="758"/>
      <c r="AD16" s="716"/>
      <c r="AE16" s="718"/>
      <c r="AF16" s="718"/>
    </row>
    <row r="17" spans="2:32" ht="18" customHeight="1" x14ac:dyDescent="0.3">
      <c r="B17" s="91"/>
      <c r="C17" s="407"/>
      <c r="D17" s="641"/>
      <c r="E17" s="641"/>
      <c r="F17" s="641"/>
      <c r="G17" s="641"/>
      <c r="H17" s="641"/>
      <c r="I17" s="641"/>
      <c r="J17" s="641"/>
      <c r="K17" s="641"/>
      <c r="L17" s="641"/>
      <c r="M17" s="641"/>
      <c r="N17" s="641"/>
      <c r="O17" s="641"/>
      <c r="P17" s="641"/>
      <c r="Q17" s="642"/>
      <c r="R17" s="718"/>
      <c r="S17" s="407"/>
      <c r="T17" s="641"/>
      <c r="U17" s="641"/>
      <c r="V17" s="641"/>
      <c r="W17" s="641"/>
      <c r="X17" s="641"/>
      <c r="Y17" s="642"/>
      <c r="Z17" s="643"/>
      <c r="AA17" s="718"/>
      <c r="AB17" s="755"/>
      <c r="AC17" s="758"/>
      <c r="AD17" s="716"/>
      <c r="AE17" s="718"/>
      <c r="AF17" s="718"/>
    </row>
    <row r="18" spans="2:32" ht="18" customHeight="1" x14ac:dyDescent="0.3">
      <c r="B18" s="91"/>
      <c r="C18" s="395"/>
      <c r="D18" s="859" t="s">
        <v>707</v>
      </c>
      <c r="E18" s="860"/>
      <c r="F18" s="860"/>
      <c r="G18" s="860"/>
      <c r="H18" s="860"/>
      <c r="I18" s="860"/>
      <c r="J18" s="860"/>
      <c r="K18" s="861"/>
      <c r="L18" s="871" t="s">
        <v>705</v>
      </c>
      <c r="M18" s="872"/>
      <c r="N18" s="872"/>
      <c r="O18" s="872"/>
      <c r="P18" s="873"/>
      <c r="Q18" s="643"/>
      <c r="R18" s="718"/>
      <c r="S18" s="395"/>
      <c r="T18" s="874" t="s">
        <v>712</v>
      </c>
      <c r="U18" s="875"/>
      <c r="V18" s="876" t="s">
        <v>710</v>
      </c>
      <c r="W18" s="877"/>
      <c r="X18" s="878"/>
      <c r="Y18" s="643"/>
      <c r="Z18" s="643"/>
      <c r="AA18" s="718"/>
      <c r="AB18" s="755"/>
      <c r="AC18" s="758"/>
      <c r="AD18" s="716"/>
      <c r="AE18" s="718"/>
      <c r="AF18" s="718"/>
    </row>
    <row r="19" spans="2:32" ht="18" customHeight="1" x14ac:dyDescent="0.3">
      <c r="B19" s="91"/>
      <c r="C19" s="395"/>
      <c r="D19" s="718"/>
      <c r="E19" s="718"/>
      <c r="F19" s="718"/>
      <c r="G19" s="718"/>
      <c r="I19" s="722"/>
      <c r="J19" s="722"/>
      <c r="K19" s="722"/>
      <c r="L19" s="722"/>
      <c r="M19" s="722"/>
      <c r="N19" s="722"/>
      <c r="O19" s="722"/>
      <c r="P19" s="722"/>
      <c r="Q19" s="643"/>
      <c r="R19" s="718"/>
      <c r="S19" s="395"/>
      <c r="T19" s="874" t="s">
        <v>713</v>
      </c>
      <c r="U19" s="875"/>
      <c r="V19" s="876" t="s">
        <v>786</v>
      </c>
      <c r="W19" s="877"/>
      <c r="X19" s="878"/>
      <c r="Y19" s="643"/>
      <c r="Z19" s="643"/>
      <c r="AA19" s="718"/>
      <c r="AB19" s="755"/>
      <c r="AC19" s="758"/>
      <c r="AD19" s="716"/>
      <c r="AE19" s="718"/>
      <c r="AF19" s="718"/>
    </row>
    <row r="20" spans="2:32" ht="18" customHeight="1" x14ac:dyDescent="0.3">
      <c r="B20" s="91"/>
      <c r="C20" s="395"/>
      <c r="D20" s="730" t="s">
        <v>751</v>
      </c>
      <c r="E20" s="730"/>
      <c r="F20" s="730"/>
      <c r="G20" s="730"/>
      <c r="H20" s="654"/>
      <c r="I20" s="730"/>
      <c r="J20" s="730"/>
      <c r="K20" s="730"/>
      <c r="L20" s="730"/>
      <c r="M20" s="730"/>
      <c r="N20" s="730"/>
      <c r="O20" s="730"/>
      <c r="P20" s="730"/>
      <c r="Q20" s="643"/>
      <c r="R20" s="718"/>
      <c r="S20" s="395"/>
      <c r="T20" s="874" t="s">
        <v>714</v>
      </c>
      <c r="U20" s="875"/>
      <c r="V20" s="897" t="s">
        <v>761</v>
      </c>
      <c r="W20" s="898"/>
      <c r="X20" s="899"/>
      <c r="Y20" s="643"/>
      <c r="Z20" s="643"/>
      <c r="AA20" s="718"/>
      <c r="AB20" s="755"/>
      <c r="AC20" s="758"/>
      <c r="AD20" s="716"/>
      <c r="AE20" s="718"/>
      <c r="AF20" s="718"/>
    </row>
    <row r="21" spans="2:32" ht="18" customHeight="1" x14ac:dyDescent="0.3">
      <c r="B21" s="91"/>
      <c r="C21" s="395"/>
      <c r="D21" s="730" t="s">
        <v>752</v>
      </c>
      <c r="E21" s="730"/>
      <c r="F21" s="730"/>
      <c r="G21" s="730"/>
      <c r="H21" s="654"/>
      <c r="I21" s="730"/>
      <c r="J21" s="730"/>
      <c r="K21" s="730"/>
      <c r="L21" s="730"/>
      <c r="M21" s="730"/>
      <c r="N21" s="730"/>
      <c r="O21" s="730"/>
      <c r="P21" s="730"/>
      <c r="Q21" s="643"/>
      <c r="R21" s="718"/>
      <c r="S21" s="395"/>
      <c r="T21" s="874" t="s">
        <v>715</v>
      </c>
      <c r="U21" s="875"/>
      <c r="V21" s="871" t="s">
        <v>758</v>
      </c>
      <c r="W21" s="872"/>
      <c r="X21" s="873"/>
      <c r="Y21" s="643"/>
      <c r="Z21" s="643"/>
      <c r="AA21" s="718"/>
      <c r="AB21" s="755"/>
      <c r="AC21" s="758"/>
      <c r="AD21" s="716"/>
      <c r="AE21" s="718"/>
      <c r="AF21" s="718"/>
    </row>
    <row r="22" spans="2:32" ht="18" customHeight="1" x14ac:dyDescent="0.3">
      <c r="B22" s="91"/>
      <c r="C22" s="395"/>
      <c r="E22" s="732" t="s">
        <v>753</v>
      </c>
      <c r="F22" s="732"/>
      <c r="G22" s="732"/>
      <c r="J22" s="730"/>
      <c r="K22" s="730"/>
      <c r="L22" s="730"/>
      <c r="M22" s="730"/>
      <c r="N22" s="730"/>
      <c r="O22" s="730"/>
      <c r="P22" s="730"/>
      <c r="Q22" s="643"/>
      <c r="R22" s="718"/>
      <c r="S22" s="395"/>
      <c r="Y22" s="643"/>
      <c r="Z22" s="643"/>
      <c r="AA22" s="718"/>
      <c r="AB22" s="755"/>
      <c r="AC22" s="758"/>
      <c r="AD22" s="716"/>
      <c r="AE22" s="718"/>
      <c r="AF22" s="718"/>
    </row>
    <row r="23" spans="2:32" ht="18" customHeight="1" x14ac:dyDescent="0.3">
      <c r="B23" s="91"/>
      <c r="C23" s="395"/>
      <c r="E23" s="732" t="s">
        <v>754</v>
      </c>
      <c r="F23" s="732"/>
      <c r="G23" s="732"/>
      <c r="J23" s="730"/>
      <c r="K23" s="730"/>
      <c r="L23" s="730"/>
      <c r="M23" s="730"/>
      <c r="N23" s="730"/>
      <c r="O23" s="730"/>
      <c r="P23" s="730"/>
      <c r="Q23" s="643"/>
      <c r="R23" s="718"/>
      <c r="S23" s="395"/>
      <c r="T23" s="885" t="s">
        <v>711</v>
      </c>
      <c r="U23" s="886"/>
      <c r="V23" s="886"/>
      <c r="W23" s="886"/>
      <c r="X23" s="887"/>
      <c r="Y23" s="643"/>
      <c r="Z23" s="643"/>
      <c r="AA23" s="718"/>
      <c r="AB23" s="755"/>
      <c r="AC23" s="758"/>
      <c r="AD23" s="716"/>
      <c r="AE23" s="718"/>
      <c r="AF23" s="718"/>
    </row>
    <row r="24" spans="2:32" ht="18" customHeight="1" x14ac:dyDescent="0.3">
      <c r="B24" s="91"/>
      <c r="C24" s="395"/>
      <c r="D24" s="730" t="s">
        <v>755</v>
      </c>
      <c r="E24" s="730"/>
      <c r="F24" s="730"/>
      <c r="G24" s="730"/>
      <c r="H24" s="730"/>
      <c r="I24" s="730"/>
      <c r="J24" s="730"/>
      <c r="K24" s="730"/>
      <c r="L24" s="730"/>
      <c r="M24" s="730"/>
      <c r="N24" s="730"/>
      <c r="O24" s="730"/>
      <c r="P24" s="730"/>
      <c r="Q24" s="643"/>
      <c r="R24" s="718"/>
      <c r="S24" s="395"/>
      <c r="T24" s="888" t="s">
        <v>787</v>
      </c>
      <c r="U24" s="889"/>
      <c r="V24" s="889"/>
      <c r="W24" s="889"/>
      <c r="X24" s="890"/>
      <c r="Y24" s="643"/>
      <c r="Z24" s="643"/>
      <c r="AA24" s="718"/>
      <c r="AB24" s="755"/>
      <c r="AC24" s="758"/>
      <c r="AD24" s="716"/>
      <c r="AE24" s="718"/>
      <c r="AF24" s="718"/>
    </row>
    <row r="25" spans="2:32" ht="18" customHeight="1" x14ac:dyDescent="0.3">
      <c r="B25" s="91"/>
      <c r="C25" s="395"/>
      <c r="D25" s="730" t="s">
        <v>747</v>
      </c>
      <c r="E25" s="730"/>
      <c r="F25" s="730"/>
      <c r="G25" s="730"/>
      <c r="H25" s="730"/>
      <c r="I25" s="730"/>
      <c r="J25" s="730"/>
      <c r="K25" s="730"/>
      <c r="L25" s="730"/>
      <c r="M25" s="730"/>
      <c r="N25" s="730"/>
      <c r="O25" s="730"/>
      <c r="P25" s="730"/>
      <c r="Q25" s="643"/>
      <c r="R25" s="718"/>
      <c r="S25" s="395"/>
      <c r="T25" s="891"/>
      <c r="U25" s="892"/>
      <c r="V25" s="892"/>
      <c r="W25" s="892"/>
      <c r="X25" s="893"/>
      <c r="Y25" s="643"/>
      <c r="Z25" s="643"/>
      <c r="AA25" s="718"/>
      <c r="AB25" s="755"/>
      <c r="AC25" s="758"/>
      <c r="AD25" s="716"/>
      <c r="AE25" s="718"/>
      <c r="AF25" s="718"/>
    </row>
    <row r="26" spans="2:32" ht="18" customHeight="1" x14ac:dyDescent="0.3">
      <c r="B26" s="91"/>
      <c r="C26" s="395"/>
      <c r="D26" s="730" t="s">
        <v>756</v>
      </c>
      <c r="E26" s="730"/>
      <c r="F26" s="730"/>
      <c r="G26" s="730"/>
      <c r="H26" s="730"/>
      <c r="I26" s="730"/>
      <c r="J26" s="730"/>
      <c r="K26" s="730"/>
      <c r="L26" s="730"/>
      <c r="M26" s="730"/>
      <c r="N26" s="730"/>
      <c r="O26" s="730"/>
      <c r="P26" s="730"/>
      <c r="Q26" s="643"/>
      <c r="R26" s="718"/>
      <c r="S26" s="395"/>
      <c r="T26" s="891"/>
      <c r="U26" s="892"/>
      <c r="V26" s="892"/>
      <c r="W26" s="892"/>
      <c r="X26" s="893"/>
      <c r="Y26" s="643"/>
      <c r="Z26" s="643"/>
      <c r="AA26" s="718"/>
      <c r="AB26" s="755"/>
      <c r="AC26" s="758"/>
      <c r="AD26" s="716"/>
      <c r="AE26" s="718"/>
      <c r="AF26" s="718"/>
    </row>
    <row r="27" spans="2:32" ht="18" customHeight="1" x14ac:dyDescent="0.3">
      <c r="B27" s="91"/>
      <c r="C27" s="395"/>
      <c r="D27" s="730" t="s">
        <v>757</v>
      </c>
      <c r="E27" s="730"/>
      <c r="F27" s="730"/>
      <c r="G27" s="730"/>
      <c r="H27" s="730"/>
      <c r="I27" s="730"/>
      <c r="J27" s="730"/>
      <c r="K27" s="730"/>
      <c r="L27" s="730"/>
      <c r="M27" s="730"/>
      <c r="N27" s="730"/>
      <c r="O27" s="730"/>
      <c r="P27" s="730"/>
      <c r="Q27" s="643"/>
      <c r="R27" s="718"/>
      <c r="S27" s="395"/>
      <c r="T27" s="894"/>
      <c r="U27" s="895"/>
      <c r="V27" s="895"/>
      <c r="W27" s="895"/>
      <c r="X27" s="896"/>
      <c r="Y27" s="643"/>
      <c r="Z27" s="643"/>
      <c r="AA27" s="718"/>
      <c r="AB27" s="755"/>
      <c r="AC27" s="758"/>
      <c r="AD27" s="716"/>
      <c r="AE27" s="718"/>
      <c r="AF27" s="718"/>
    </row>
    <row r="28" spans="2:32" ht="18" customHeight="1" x14ac:dyDescent="0.3">
      <c r="B28" s="91"/>
      <c r="C28" s="644"/>
      <c r="D28" s="645"/>
      <c r="E28" s="645"/>
      <c r="F28" s="645"/>
      <c r="G28" s="645"/>
      <c r="H28" s="645"/>
      <c r="I28" s="645"/>
      <c r="J28" s="645"/>
      <c r="K28" s="645"/>
      <c r="L28" s="645"/>
      <c r="M28" s="645"/>
      <c r="N28" s="645"/>
      <c r="O28" s="645"/>
      <c r="P28" s="645"/>
      <c r="Q28" s="646"/>
      <c r="R28" s="718"/>
      <c r="S28" s="644"/>
      <c r="T28" s="645"/>
      <c r="U28" s="645"/>
      <c r="V28" s="645"/>
      <c r="W28" s="645"/>
      <c r="X28" s="645"/>
      <c r="Y28" s="646"/>
      <c r="Z28" s="643"/>
      <c r="AA28" s="718"/>
      <c r="AB28" s="755"/>
      <c r="AC28" s="758"/>
      <c r="AD28" s="716"/>
      <c r="AE28" s="718"/>
      <c r="AF28" s="718"/>
    </row>
    <row r="29" spans="2:32" ht="18" customHeight="1" x14ac:dyDescent="0.3">
      <c r="B29" s="391"/>
      <c r="C29" s="645"/>
      <c r="D29" s="645"/>
      <c r="E29" s="645"/>
      <c r="F29" s="645"/>
      <c r="G29" s="645"/>
      <c r="H29" s="645"/>
      <c r="I29" s="645"/>
      <c r="J29" s="645"/>
      <c r="K29" s="645"/>
      <c r="L29" s="645"/>
      <c r="M29" s="645"/>
      <c r="N29" s="645"/>
      <c r="O29" s="645"/>
      <c r="P29" s="645"/>
      <c r="Q29" s="645"/>
      <c r="R29" s="645"/>
      <c r="S29" s="645"/>
      <c r="T29" s="645"/>
      <c r="U29" s="645"/>
      <c r="V29" s="645"/>
      <c r="W29" s="645"/>
      <c r="X29" s="645"/>
      <c r="Y29" s="645"/>
      <c r="Z29" s="646"/>
      <c r="AA29" s="718"/>
      <c r="AB29" s="756"/>
      <c r="AC29" s="759"/>
      <c r="AD29" s="717"/>
      <c r="AE29" s="718"/>
      <c r="AF29" s="718"/>
    </row>
    <row r="30" spans="2:32" ht="18" customHeight="1" x14ac:dyDescent="0.3">
      <c r="C30" s="718"/>
      <c r="D30" s="718"/>
      <c r="E30" s="718"/>
      <c r="F30" s="718"/>
      <c r="G30" s="718"/>
      <c r="H30" s="718"/>
      <c r="I30" s="718"/>
      <c r="J30" s="718"/>
      <c r="K30" s="718"/>
      <c r="L30" s="718"/>
      <c r="M30" s="718"/>
      <c r="N30" s="718"/>
      <c r="O30" s="718"/>
      <c r="P30" s="718"/>
      <c r="Q30" s="718"/>
      <c r="R30" s="718"/>
      <c r="S30" s="718"/>
      <c r="T30" s="718"/>
      <c r="U30" s="718"/>
      <c r="V30" s="718"/>
      <c r="W30" s="718"/>
      <c r="X30" s="718"/>
      <c r="Y30" s="718"/>
      <c r="Z30" s="718"/>
      <c r="AA30" s="718"/>
      <c r="AB30" s="718"/>
      <c r="AC30" s="718"/>
      <c r="AD30" s="718"/>
      <c r="AE30" s="718"/>
      <c r="AF30" s="718"/>
    </row>
    <row r="31" spans="2:32" ht="18" customHeight="1" x14ac:dyDescent="0.3">
      <c r="B31" s="760"/>
      <c r="C31" s="761"/>
      <c r="D31" s="762" t="s">
        <v>748</v>
      </c>
      <c r="E31" s="761"/>
      <c r="F31" s="641"/>
      <c r="G31" s="641"/>
      <c r="H31" s="641"/>
      <c r="I31" s="641"/>
      <c r="J31" s="641"/>
      <c r="K31" s="641"/>
      <c r="L31" s="641"/>
      <c r="M31" s="641"/>
      <c r="N31" s="641"/>
      <c r="O31" s="641"/>
      <c r="P31" s="641"/>
      <c r="Q31" s="641"/>
      <c r="R31" s="641"/>
      <c r="S31" s="641"/>
      <c r="T31" s="641"/>
      <c r="U31" s="641"/>
      <c r="V31" s="641"/>
      <c r="W31" s="641"/>
      <c r="X31" s="641"/>
      <c r="Y31" s="641"/>
      <c r="Z31" s="641"/>
      <c r="AA31" s="641"/>
      <c r="AB31" s="641"/>
      <c r="AC31" s="641"/>
      <c r="AD31" s="642"/>
      <c r="AE31" s="718"/>
      <c r="AF31" s="718"/>
    </row>
    <row r="32" spans="2:32" ht="18" customHeight="1" x14ac:dyDescent="0.3">
      <c r="B32" s="395"/>
      <c r="C32" s="220"/>
      <c r="D32" s="220" t="s">
        <v>749</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43"/>
      <c r="AE32" s="718"/>
      <c r="AF32" s="718"/>
    </row>
    <row r="33" spans="2:32" ht="18" customHeight="1" x14ac:dyDescent="0.3">
      <c r="B33" s="395"/>
      <c r="C33" s="220"/>
      <c r="D33" s="220" t="s">
        <v>750</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43"/>
      <c r="AE33" s="718"/>
      <c r="AF33" s="718"/>
    </row>
    <row r="34" spans="2:32" ht="18" customHeight="1" x14ac:dyDescent="0.3">
      <c r="B34" s="395"/>
      <c r="C34" s="220"/>
      <c r="D34" s="220" t="s">
        <v>760</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43"/>
      <c r="AE34" s="718"/>
      <c r="AF34" s="718"/>
    </row>
    <row r="35" spans="2:32" ht="18" customHeight="1" x14ac:dyDescent="0.3">
      <c r="B35" s="644"/>
      <c r="C35" s="645"/>
      <c r="D35" s="645" t="s">
        <v>759</v>
      </c>
      <c r="E35" s="645"/>
      <c r="F35" s="645"/>
      <c r="G35" s="645"/>
      <c r="H35" s="645"/>
      <c r="I35" s="645"/>
      <c r="J35" s="645"/>
      <c r="K35" s="645"/>
      <c r="L35" s="645"/>
      <c r="M35" s="645"/>
      <c r="N35" s="645"/>
      <c r="O35" s="645"/>
      <c r="P35" s="645"/>
      <c r="Q35" s="645"/>
      <c r="R35" s="645"/>
      <c r="S35" s="645"/>
      <c r="T35" s="645"/>
      <c r="U35" s="645"/>
      <c r="V35" s="645"/>
      <c r="W35" s="645"/>
      <c r="X35" s="645"/>
      <c r="Y35" s="645"/>
      <c r="Z35" s="645"/>
      <c r="AA35" s="645"/>
      <c r="AB35" s="645"/>
      <c r="AC35" s="645"/>
      <c r="AD35" s="646"/>
      <c r="AE35" s="718"/>
      <c r="AF35" s="718"/>
    </row>
    <row r="36" spans="2:32" ht="18" customHeight="1" x14ac:dyDescent="0.3">
      <c r="C36" s="718"/>
      <c r="D36" s="718"/>
      <c r="E36" s="718"/>
      <c r="F36" s="718"/>
      <c r="G36" s="718"/>
      <c r="H36" s="718"/>
      <c r="I36" s="718"/>
      <c r="J36" s="718"/>
      <c r="K36" s="718"/>
      <c r="L36" s="718"/>
      <c r="M36" s="718"/>
      <c r="N36" s="718"/>
      <c r="O36" s="718"/>
      <c r="P36" s="718"/>
      <c r="Q36" s="718"/>
      <c r="R36" s="718"/>
      <c r="S36" s="718"/>
      <c r="T36" s="718"/>
      <c r="U36" s="718"/>
      <c r="V36" s="718"/>
      <c r="W36" s="718"/>
      <c r="X36" s="718"/>
      <c r="Y36" s="718"/>
      <c r="Z36" s="718"/>
      <c r="AA36" s="718"/>
      <c r="AB36" s="718"/>
      <c r="AC36" s="718"/>
      <c r="AD36" s="718"/>
      <c r="AE36" s="718"/>
      <c r="AF36" s="718"/>
    </row>
    <row r="37" spans="2:32" ht="18.600000000000001" customHeight="1" x14ac:dyDescent="0.3">
      <c r="C37" s="718"/>
      <c r="D37" s="718"/>
      <c r="E37" s="718"/>
      <c r="F37" s="718"/>
      <c r="G37" s="718"/>
      <c r="H37" s="718"/>
      <c r="I37" s="718"/>
      <c r="J37" s="718"/>
      <c r="K37" s="718"/>
      <c r="L37" s="718"/>
      <c r="M37" s="718"/>
      <c r="N37" s="718"/>
      <c r="O37" s="718"/>
      <c r="P37" s="718"/>
      <c r="Q37" s="718"/>
      <c r="R37" s="718"/>
      <c r="S37" s="718"/>
      <c r="T37" s="718"/>
      <c r="U37" s="718"/>
      <c r="V37" s="718"/>
      <c r="W37" s="718"/>
      <c r="X37" s="718"/>
      <c r="Y37" s="718"/>
      <c r="Z37" s="718"/>
      <c r="AA37" s="718"/>
      <c r="AB37" s="718"/>
      <c r="AC37" s="718"/>
      <c r="AD37" s="718"/>
      <c r="AE37" s="718"/>
      <c r="AF37" s="718"/>
    </row>
    <row r="38" spans="2:32" ht="18.600000000000001" customHeight="1" x14ac:dyDescent="0.3">
      <c r="C38" s="718"/>
      <c r="D38" s="718"/>
      <c r="E38" s="718"/>
      <c r="F38" s="718"/>
      <c r="G38" s="718"/>
      <c r="H38" s="718"/>
      <c r="I38" s="718"/>
      <c r="J38" s="718"/>
      <c r="K38" s="718"/>
      <c r="L38" s="718"/>
      <c r="M38" s="718"/>
      <c r="N38" s="718"/>
      <c r="O38" s="718"/>
      <c r="P38" s="718"/>
      <c r="Q38" s="718"/>
      <c r="R38" s="718"/>
      <c r="S38" s="718"/>
      <c r="T38" s="718"/>
      <c r="U38" s="718"/>
      <c r="V38" s="718"/>
      <c r="W38" s="718"/>
      <c r="X38" s="718"/>
      <c r="Y38" s="718"/>
      <c r="Z38" s="718"/>
      <c r="AA38" s="718"/>
      <c r="AB38" s="718"/>
      <c r="AC38" s="718"/>
      <c r="AD38" s="718"/>
      <c r="AE38" s="718"/>
      <c r="AF38" s="718"/>
    </row>
    <row r="39" spans="2:32" ht="18.600000000000001" customHeight="1" x14ac:dyDescent="0.3">
      <c r="C39" s="718"/>
      <c r="D39" s="718"/>
      <c r="E39" s="718"/>
      <c r="F39" s="718"/>
      <c r="G39" s="718"/>
      <c r="H39" s="718"/>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row>
    <row r="40" spans="2:32" ht="18.600000000000001" customHeight="1" x14ac:dyDescent="0.3">
      <c r="C40" s="718"/>
      <c r="D40" s="718"/>
      <c r="E40" s="718"/>
      <c r="F40" s="718"/>
      <c r="G40" s="718"/>
      <c r="H40" s="718"/>
      <c r="I40" s="718"/>
      <c r="J40" s="718"/>
      <c r="K40" s="718"/>
      <c r="L40" s="718"/>
      <c r="M40" s="718"/>
      <c r="N40" s="718"/>
      <c r="O40" s="718"/>
      <c r="P40" s="718"/>
      <c r="Q40" s="718"/>
      <c r="R40" s="718"/>
      <c r="S40" s="718"/>
      <c r="T40" s="718"/>
      <c r="U40" s="718"/>
      <c r="V40" s="718"/>
      <c r="W40" s="718"/>
      <c r="X40" s="718"/>
      <c r="Y40" s="718"/>
      <c r="Z40" s="718"/>
      <c r="AA40" s="718"/>
      <c r="AB40" s="718"/>
      <c r="AC40" s="718"/>
      <c r="AD40" s="718"/>
      <c r="AE40" s="718"/>
      <c r="AF40" s="718"/>
    </row>
    <row r="41" spans="2:32" ht="18.600000000000001" customHeight="1" x14ac:dyDescent="0.3">
      <c r="C41" s="718"/>
      <c r="D41" s="718"/>
      <c r="E41" s="718"/>
      <c r="F41" s="718"/>
      <c r="G41" s="718"/>
      <c r="H41" s="718"/>
      <c r="I41" s="718"/>
      <c r="J41" s="718"/>
      <c r="K41" s="718"/>
      <c r="L41" s="718"/>
      <c r="M41" s="718"/>
      <c r="N41" s="718"/>
      <c r="O41" s="718"/>
      <c r="P41" s="718"/>
      <c r="Q41" s="718"/>
      <c r="R41" s="718"/>
      <c r="S41" s="718"/>
      <c r="T41" s="718"/>
      <c r="U41" s="718"/>
      <c r="V41" s="718"/>
      <c r="W41" s="718"/>
      <c r="X41" s="718"/>
      <c r="Y41" s="718"/>
      <c r="Z41" s="718"/>
      <c r="AA41" s="718"/>
      <c r="AB41" s="718"/>
      <c r="AC41" s="718"/>
      <c r="AD41" s="718"/>
      <c r="AE41" s="718"/>
      <c r="AF41" s="718"/>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25" zoomScaleNormal="25" workbookViewId="0">
      <selection activeCell="C3" sqref="C3:K3"/>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929" t="s">
        <v>659</v>
      </c>
      <c r="D3" s="930"/>
      <c r="E3" s="930"/>
      <c r="F3" s="930"/>
      <c r="G3" s="930"/>
      <c r="H3" s="930"/>
      <c r="I3" s="930"/>
      <c r="J3" s="930"/>
      <c r="K3" s="931"/>
      <c r="L3" s="106"/>
      <c r="M3" s="105"/>
      <c r="N3" s="120"/>
      <c r="O3" s="926" t="str">
        <f>+E6&amp;" Diagram"</f>
        <v>Plant A Diagram</v>
      </c>
      <c r="P3" s="927"/>
      <c r="Q3" s="927"/>
      <c r="R3" s="927"/>
      <c r="S3" s="927"/>
      <c r="T3" s="927"/>
      <c r="U3" s="927"/>
      <c r="V3" s="927"/>
      <c r="W3" s="927"/>
      <c r="X3" s="927"/>
      <c r="Y3" s="927"/>
      <c r="Z3" s="927"/>
      <c r="AA3" s="928"/>
      <c r="AB3" s="113"/>
      <c r="AC3" s="105"/>
      <c r="AD3" s="105"/>
      <c r="AE3" s="925" t="str">
        <f>+E6&amp;" Stream Summary"</f>
        <v>Plant A Stream Summary</v>
      </c>
      <c r="AF3" s="925"/>
      <c r="AG3" s="925"/>
      <c r="AH3" s="705"/>
      <c r="AI3" s="705"/>
      <c r="AJ3" s="705"/>
      <c r="AK3" s="705"/>
      <c r="AL3" s="705"/>
      <c r="AM3" s="705"/>
      <c r="AN3" s="705"/>
      <c r="AO3" s="705"/>
      <c r="AP3" s="705"/>
      <c r="AQ3" s="705"/>
      <c r="AR3" s="705"/>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934" t="s">
        <v>594</v>
      </c>
      <c r="E5" s="934"/>
      <c r="F5" s="105"/>
      <c r="G5" s="92"/>
      <c r="H5" s="92"/>
      <c r="I5" s="932" t="s">
        <v>267</v>
      </c>
      <c r="J5" s="933"/>
      <c r="K5" s="105"/>
      <c r="L5" s="106"/>
      <c r="M5" s="105"/>
      <c r="N5" s="120"/>
      <c r="O5" s="112"/>
      <c r="P5" s="112"/>
      <c r="Q5" s="112"/>
      <c r="R5" s="112"/>
      <c r="S5" s="112"/>
      <c r="T5" s="112"/>
      <c r="U5" s="112"/>
      <c r="V5" s="112"/>
      <c r="W5" s="112"/>
      <c r="X5" s="112"/>
      <c r="Y5" s="112"/>
      <c r="Z5" s="112"/>
      <c r="AA5" s="112"/>
      <c r="AB5" s="113"/>
      <c r="AC5" s="105"/>
      <c r="AD5" s="92"/>
      <c r="AE5" s="711"/>
      <c r="AF5" s="711"/>
      <c r="AG5" s="711"/>
      <c r="AH5" s="711"/>
      <c r="AI5" s="711"/>
      <c r="AJ5" s="711"/>
      <c r="AK5" s="711"/>
      <c r="AL5" s="711"/>
      <c r="AM5" s="711"/>
      <c r="AN5" s="711"/>
      <c r="AO5" s="711"/>
      <c r="AP5" s="711"/>
      <c r="AQ5" s="711"/>
      <c r="AR5" s="711"/>
    </row>
    <row r="6" spans="1:62" ht="22.2" customHeight="1" x14ac:dyDescent="0.3">
      <c r="A6" s="83"/>
      <c r="B6" s="104"/>
      <c r="C6" s="105"/>
      <c r="D6" s="539" t="s">
        <v>683</v>
      </c>
      <c r="E6" s="527" t="s">
        <v>684</v>
      </c>
      <c r="F6" s="105"/>
      <c r="G6" s="92"/>
      <c r="H6" s="92"/>
      <c r="I6" s="85"/>
      <c r="J6" s="390" t="s">
        <v>262</v>
      </c>
      <c r="K6" s="105"/>
      <c r="L6" s="106"/>
      <c r="M6" s="105"/>
      <c r="N6" s="120"/>
      <c r="O6" s="112"/>
      <c r="P6" s="112"/>
      <c r="Q6" s="112"/>
      <c r="R6" s="112"/>
      <c r="S6" s="112"/>
      <c r="T6" s="112"/>
      <c r="U6" s="112"/>
      <c r="V6" s="112"/>
      <c r="W6" s="112"/>
      <c r="X6" s="112"/>
      <c r="Y6" s="112"/>
      <c r="Z6" s="112"/>
      <c r="AA6" s="112"/>
      <c r="AB6" s="113"/>
      <c r="AC6" s="105"/>
      <c r="AD6" s="105"/>
      <c r="AE6" s="708" t="s">
        <v>739</v>
      </c>
      <c r="AF6" s="707" t="s">
        <v>737</v>
      </c>
      <c r="AG6" s="709" t="s">
        <v>738</v>
      </c>
      <c r="AH6" s="105"/>
      <c r="AI6" s="83"/>
      <c r="AJ6" s="83"/>
    </row>
    <row r="7" spans="1:62" ht="22.2" customHeight="1" x14ac:dyDescent="0.3">
      <c r="A7" s="83"/>
      <c r="B7" s="104"/>
      <c r="C7" s="105"/>
      <c r="D7" s="545" t="s">
        <v>477</v>
      </c>
      <c r="E7" s="578" t="s">
        <v>488</v>
      </c>
      <c r="F7" s="105"/>
      <c r="G7" s="92"/>
      <c r="H7" s="92"/>
      <c r="I7" s="96"/>
      <c r="J7" s="390" t="s">
        <v>263</v>
      </c>
      <c r="K7" s="105"/>
      <c r="L7" s="106"/>
      <c r="M7" s="105"/>
      <c r="N7" s="120"/>
      <c r="O7" s="112"/>
      <c r="P7" s="112"/>
      <c r="Q7" s="112"/>
      <c r="R7" s="112"/>
      <c r="S7" s="112"/>
      <c r="T7" s="112"/>
      <c r="U7" s="112"/>
      <c r="V7" s="112"/>
      <c r="W7" s="112"/>
      <c r="X7" s="112"/>
      <c r="Y7" s="112"/>
      <c r="Z7" s="112"/>
      <c r="AA7" s="112"/>
      <c r="AB7" s="113"/>
      <c r="AC7" s="105"/>
      <c r="AD7" s="105"/>
      <c r="AE7" s="710">
        <v>1</v>
      </c>
      <c r="AF7" s="703"/>
      <c r="AG7" s="703"/>
      <c r="AH7" s="105"/>
      <c r="AI7" s="83"/>
      <c r="AJ7" s="83"/>
    </row>
    <row r="8" spans="1:62" ht="22.2" customHeight="1" x14ac:dyDescent="0.3">
      <c r="A8" s="83"/>
      <c r="B8" s="104"/>
      <c r="C8" s="105"/>
      <c r="D8" s="545" t="s">
        <v>315</v>
      </c>
      <c r="E8" s="579">
        <v>2020</v>
      </c>
      <c r="F8" s="105"/>
      <c r="G8" s="92"/>
      <c r="H8" s="92"/>
      <c r="I8" s="95"/>
      <c r="J8" s="695"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04"/>
      <c r="AI8" s="704"/>
      <c r="AJ8" s="704"/>
      <c r="AK8" s="704"/>
      <c r="AL8" s="704"/>
      <c r="AM8" s="105"/>
      <c r="AN8" s="704"/>
      <c r="AO8" s="704"/>
      <c r="AP8" s="704"/>
      <c r="AQ8" s="704"/>
      <c r="AR8" s="704"/>
      <c r="AS8" s="704"/>
      <c r="AT8" s="105"/>
      <c r="AU8" s="105"/>
      <c r="AV8" s="105"/>
      <c r="AW8" s="704"/>
      <c r="AX8" s="105"/>
      <c r="AY8" s="105"/>
      <c r="AZ8" s="704"/>
      <c r="BA8" s="105"/>
      <c r="BB8" s="105"/>
      <c r="BC8" s="105"/>
      <c r="BD8" s="105"/>
      <c r="BE8" s="105"/>
      <c r="BF8" s="105"/>
      <c r="BG8" s="83"/>
      <c r="BH8" s="83"/>
    </row>
    <row r="9" spans="1:62" ht="22.2" customHeight="1" x14ac:dyDescent="0.3">
      <c r="A9" s="83"/>
      <c r="B9" s="104"/>
      <c r="C9" s="105"/>
      <c r="D9" s="545" t="s">
        <v>573</v>
      </c>
      <c r="E9" s="580" t="s">
        <v>456</v>
      </c>
      <c r="F9" s="105"/>
      <c r="G9" s="92"/>
      <c r="H9" s="92"/>
      <c r="I9" s="110"/>
      <c r="J9" s="700" t="s">
        <v>268</v>
      </c>
      <c r="K9" s="105"/>
      <c r="L9" s="106"/>
      <c r="M9" s="105"/>
      <c r="N9" s="120"/>
      <c r="O9" s="112"/>
      <c r="P9" s="112"/>
      <c r="Q9" s="112"/>
      <c r="R9" s="112"/>
      <c r="S9" s="112"/>
      <c r="T9" s="112"/>
      <c r="U9" s="112"/>
      <c r="V9" s="112"/>
      <c r="W9" s="112"/>
      <c r="X9" s="112"/>
      <c r="Y9" s="112"/>
      <c r="Z9" s="112"/>
      <c r="AA9" s="112"/>
      <c r="AB9" s="113"/>
      <c r="AC9" s="105"/>
      <c r="AD9" s="105"/>
      <c r="AE9" s="105"/>
      <c r="AF9" s="105"/>
      <c r="AG9" s="704"/>
      <c r="AH9" s="704"/>
      <c r="AI9" s="704"/>
      <c r="AJ9" s="704"/>
      <c r="AK9" s="704"/>
      <c r="AL9" s="704"/>
      <c r="AM9" s="105"/>
      <c r="AN9" s="105"/>
      <c r="AO9" s="704"/>
      <c r="AP9" s="704"/>
      <c r="AQ9" s="704"/>
      <c r="AR9" s="704"/>
      <c r="AS9" s="704"/>
      <c r="AT9" s="704"/>
      <c r="AU9" s="704"/>
      <c r="AV9" s="704"/>
      <c r="AW9" s="704"/>
      <c r="AX9" s="105"/>
      <c r="AY9" s="105"/>
      <c r="AZ9" s="704"/>
      <c r="BA9" s="105"/>
      <c r="BB9" s="704"/>
      <c r="BC9" s="105"/>
      <c r="BD9" s="705"/>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04"/>
      <c r="AF10" s="105"/>
      <c r="AG10" s="705"/>
      <c r="AH10" s="704"/>
      <c r="AI10" s="704"/>
      <c r="AJ10" s="83"/>
      <c r="AK10" s="704"/>
      <c r="AL10" s="704"/>
      <c r="AM10" s="105"/>
      <c r="AN10" s="105"/>
      <c r="AO10" s="704"/>
      <c r="AP10" s="704"/>
      <c r="AQ10" s="704"/>
      <c r="AR10" s="704"/>
      <c r="AS10" s="704"/>
      <c r="AT10" s="105"/>
      <c r="AU10" s="105"/>
      <c r="AV10" s="705"/>
      <c r="AW10" s="704"/>
      <c r="AX10" s="704"/>
      <c r="AY10" s="704"/>
      <c r="AZ10" s="704"/>
      <c r="BA10" s="704"/>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04"/>
      <c r="AF11" s="704"/>
      <c r="AG11" s="704"/>
      <c r="AH11" s="704"/>
      <c r="AI11" s="704"/>
      <c r="AJ11" s="83"/>
      <c r="AK11" s="704"/>
      <c r="AL11" s="704"/>
      <c r="AM11" s="105"/>
      <c r="AN11" s="105"/>
      <c r="AO11" s="704"/>
      <c r="AP11" s="704"/>
      <c r="AQ11" s="704"/>
      <c r="AR11" s="704"/>
      <c r="AS11" s="704"/>
      <c r="AT11" s="105"/>
      <c r="AU11" s="105"/>
      <c r="AV11" s="704"/>
      <c r="AW11" s="705"/>
      <c r="AX11" s="704"/>
      <c r="AY11" s="705"/>
      <c r="AZ11" s="704"/>
      <c r="BA11" s="705"/>
      <c r="BB11" s="105"/>
      <c r="BC11" s="105"/>
      <c r="BD11" s="83"/>
      <c r="BE11" s="83"/>
    </row>
    <row r="12" spans="1:62" ht="22.2" customHeight="1" x14ac:dyDescent="0.3">
      <c r="A12" s="83"/>
      <c r="B12" s="104"/>
      <c r="C12" s="926" t="str">
        <f>+E6&amp;": Mass &amp; Energy Balance"</f>
        <v>Plant A: Mass &amp; Energy Balance</v>
      </c>
      <c r="D12" s="927"/>
      <c r="E12" s="927"/>
      <c r="F12" s="927"/>
      <c r="G12" s="927"/>
      <c r="H12" s="927"/>
      <c r="I12" s="927"/>
      <c r="J12" s="927"/>
      <c r="K12" s="928"/>
      <c r="L12" s="106"/>
      <c r="M12" s="105"/>
      <c r="N12" s="120"/>
      <c r="O12" s="112"/>
      <c r="P12" s="112"/>
      <c r="Q12" s="112"/>
      <c r="R12" s="112"/>
      <c r="S12" s="112"/>
      <c r="T12" s="112"/>
      <c r="U12" s="112"/>
      <c r="V12" s="112"/>
      <c r="W12" s="112"/>
      <c r="X12" s="112"/>
      <c r="Y12" s="112"/>
      <c r="Z12" s="112"/>
      <c r="AA12" s="112"/>
      <c r="AB12" s="113"/>
      <c r="AC12" s="105"/>
      <c r="AD12" s="105"/>
      <c r="AE12" s="704"/>
      <c r="AF12" s="704"/>
      <c r="AG12" s="704"/>
      <c r="AH12" s="704"/>
      <c r="AI12" s="704"/>
      <c r="AJ12" s="83"/>
      <c r="AK12" s="704"/>
      <c r="AL12" s="704"/>
      <c r="AM12" s="105"/>
      <c r="AN12" s="105"/>
      <c r="AO12" s="704"/>
      <c r="AP12" s="704"/>
      <c r="AQ12" s="704"/>
      <c r="AR12" s="704"/>
      <c r="AS12" s="704"/>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04"/>
      <c r="AF13" s="704"/>
      <c r="AG13" s="704"/>
      <c r="AH13" s="83"/>
      <c r="AI13" s="704"/>
      <c r="AJ13" s="83"/>
      <c r="AK13" s="704"/>
      <c r="AL13" s="83"/>
      <c r="AM13" s="105"/>
      <c r="AN13" s="105"/>
      <c r="AO13" s="704"/>
      <c r="AP13" s="704"/>
      <c r="AQ13" s="704"/>
      <c r="AR13" s="704"/>
      <c r="AS13" s="704"/>
      <c r="AT13" s="105"/>
      <c r="AU13" s="105"/>
      <c r="AV13" s="83"/>
      <c r="AW13" s="83"/>
    </row>
    <row r="14" spans="1:62" ht="22.2" customHeight="1" x14ac:dyDescent="0.3">
      <c r="A14" s="83"/>
      <c r="B14" s="104"/>
      <c r="C14" s="116"/>
      <c r="D14" s="468"/>
      <c r="E14" s="468"/>
      <c r="F14" s="468"/>
      <c r="G14" s="105"/>
      <c r="H14" s="468"/>
      <c r="I14" s="468"/>
      <c r="J14" s="468"/>
      <c r="K14" s="151"/>
      <c r="L14" s="106"/>
      <c r="M14" s="105"/>
      <c r="N14" s="120"/>
      <c r="O14" s="112"/>
      <c r="P14" s="112"/>
      <c r="Q14" s="112"/>
      <c r="R14" s="112"/>
      <c r="S14" s="112"/>
      <c r="T14" s="112"/>
      <c r="U14" s="112"/>
      <c r="V14" s="112"/>
      <c r="W14" s="112"/>
      <c r="X14" s="112"/>
      <c r="Y14" s="112"/>
      <c r="Z14" s="112"/>
      <c r="AA14" s="112"/>
      <c r="AB14" s="113"/>
      <c r="AC14" s="105"/>
      <c r="AD14" s="105"/>
      <c r="AE14" s="704"/>
      <c r="AF14" s="704"/>
      <c r="AG14" s="704"/>
      <c r="AH14" s="83"/>
      <c r="AI14" s="83"/>
      <c r="AJ14" s="83"/>
      <c r="AK14" s="83"/>
      <c r="AL14" s="83"/>
      <c r="AM14" s="105"/>
      <c r="AN14" s="105"/>
      <c r="AO14" s="83"/>
    </row>
    <row r="15" spans="1:62" ht="22.2" customHeight="1" x14ac:dyDescent="0.3">
      <c r="A15" s="83"/>
      <c r="B15" s="104"/>
      <c r="C15" s="116"/>
      <c r="D15" s="474"/>
      <c r="E15" s="171"/>
      <c r="F15" s="474"/>
      <c r="G15" s="105"/>
      <c r="H15" s="464"/>
      <c r="I15" s="174"/>
      <c r="J15" s="464"/>
      <c r="K15" s="151"/>
      <c r="L15" s="106"/>
      <c r="M15" s="105"/>
      <c r="N15" s="120"/>
      <c r="O15" s="112"/>
      <c r="P15" s="112"/>
      <c r="Q15" s="112"/>
      <c r="R15" s="112"/>
      <c r="S15" s="112"/>
      <c r="T15" s="112"/>
      <c r="U15" s="112"/>
      <c r="V15" s="112"/>
      <c r="W15" s="112"/>
      <c r="X15" s="112"/>
      <c r="Y15" s="112"/>
      <c r="Z15" s="112"/>
      <c r="AA15" s="112"/>
      <c r="AB15" s="113"/>
      <c r="AC15" s="105"/>
      <c r="AD15" s="105"/>
      <c r="AE15" s="704"/>
      <c r="AF15" s="704"/>
      <c r="AG15" s="704"/>
      <c r="AH15" s="83"/>
      <c r="AI15" s="83"/>
      <c r="AJ15" s="83"/>
      <c r="AK15" s="83"/>
      <c r="AL15" s="83"/>
      <c r="AM15" s="105"/>
      <c r="AN15" s="105"/>
      <c r="AO15" s="83"/>
    </row>
    <row r="16" spans="1:62" ht="22.2" customHeight="1" x14ac:dyDescent="0.3">
      <c r="A16" s="83"/>
      <c r="B16" s="104"/>
      <c r="C16" s="116"/>
      <c r="D16" s="474"/>
      <c r="E16" s="171"/>
      <c r="F16" s="474"/>
      <c r="G16" s="105"/>
      <c r="H16" s="464"/>
      <c r="I16" s="174"/>
      <c r="J16" s="464"/>
      <c r="K16" s="151"/>
      <c r="L16" s="106"/>
      <c r="M16" s="105"/>
      <c r="N16" s="120"/>
      <c r="O16" s="112"/>
      <c r="P16" s="112"/>
      <c r="Q16" s="112"/>
      <c r="R16" s="112"/>
      <c r="S16" s="112"/>
      <c r="T16" s="112"/>
      <c r="U16" s="112"/>
      <c r="V16" s="112"/>
      <c r="W16" s="112"/>
      <c r="X16" s="112"/>
      <c r="Y16" s="112"/>
      <c r="Z16" s="112"/>
      <c r="AA16" s="112"/>
      <c r="AB16" s="113"/>
      <c r="AC16" s="105"/>
      <c r="AD16" s="105"/>
      <c r="AE16" s="704"/>
      <c r="AF16" s="704"/>
      <c r="AG16" s="704"/>
      <c r="AH16" s="83"/>
      <c r="AI16" s="83"/>
      <c r="AJ16" s="83"/>
      <c r="AK16" s="83"/>
      <c r="AL16" s="83"/>
      <c r="AM16" s="105"/>
      <c r="AN16" s="105"/>
      <c r="AO16" s="83"/>
    </row>
    <row r="17" spans="1:49" ht="22.2" customHeight="1" x14ac:dyDescent="0.3">
      <c r="A17" s="83"/>
      <c r="B17" s="104"/>
      <c r="C17" s="116"/>
      <c r="D17" s="474"/>
      <c r="E17" s="171"/>
      <c r="F17" s="474"/>
      <c r="G17" s="105"/>
      <c r="H17" s="464"/>
      <c r="I17" s="174"/>
      <c r="J17" s="464"/>
      <c r="K17" s="151"/>
      <c r="L17" s="106"/>
      <c r="M17" s="105"/>
      <c r="N17" s="120"/>
      <c r="O17" s="112"/>
      <c r="P17" s="112"/>
      <c r="Q17" s="112"/>
      <c r="R17" s="112"/>
      <c r="S17" s="112"/>
      <c r="T17" s="112"/>
      <c r="U17" s="112"/>
      <c r="V17" s="112"/>
      <c r="W17" s="112"/>
      <c r="X17" s="112"/>
      <c r="Y17" s="112"/>
      <c r="Z17" s="112"/>
      <c r="AA17" s="112"/>
      <c r="AB17" s="113"/>
      <c r="AC17" s="105"/>
      <c r="AD17" s="105"/>
      <c r="AE17" s="704"/>
      <c r="AF17" s="704"/>
      <c r="AG17" s="704"/>
      <c r="AH17" s="83"/>
      <c r="AI17" s="83"/>
      <c r="AJ17" s="83"/>
      <c r="AK17" s="83"/>
      <c r="AL17" s="83"/>
      <c r="AM17" s="105"/>
      <c r="AN17" s="105"/>
      <c r="AO17" s="83"/>
    </row>
    <row r="18" spans="1:49" ht="22.2" customHeight="1" x14ac:dyDescent="0.3">
      <c r="A18" s="83"/>
      <c r="B18" s="104"/>
      <c r="C18" s="116"/>
      <c r="D18" s="474"/>
      <c r="E18" s="171"/>
      <c r="F18" s="474"/>
      <c r="G18" s="105"/>
      <c r="H18" s="464"/>
      <c r="I18" s="174"/>
      <c r="J18" s="464"/>
      <c r="K18" s="151"/>
      <c r="L18" s="106"/>
      <c r="M18" s="105"/>
      <c r="N18" s="120"/>
      <c r="O18" s="112"/>
      <c r="P18" s="112"/>
      <c r="Q18" s="112"/>
      <c r="R18" s="112"/>
      <c r="S18" s="112"/>
      <c r="T18" s="112"/>
      <c r="U18" s="112"/>
      <c r="V18" s="112"/>
      <c r="W18" s="112"/>
      <c r="X18" s="112"/>
      <c r="Y18" s="112"/>
      <c r="Z18" s="112"/>
      <c r="AA18" s="112"/>
      <c r="AB18" s="113"/>
      <c r="AC18" s="105"/>
      <c r="AD18" s="105"/>
      <c r="AE18" s="704"/>
      <c r="AF18" s="704"/>
      <c r="AG18" s="704"/>
      <c r="AH18" s="83"/>
      <c r="AI18" s="83"/>
      <c r="AJ18" s="83"/>
      <c r="AK18" s="83"/>
      <c r="AL18" s="83"/>
      <c r="AM18" s="105"/>
      <c r="AN18" s="105"/>
      <c r="AO18" s="83"/>
    </row>
    <row r="19" spans="1:49" ht="22.2" customHeight="1" x14ac:dyDescent="0.3">
      <c r="A19" s="83"/>
      <c r="B19" s="104"/>
      <c r="C19" s="116"/>
      <c r="D19" s="474"/>
      <c r="E19" s="171"/>
      <c r="F19" s="474"/>
      <c r="G19" s="105"/>
      <c r="H19" s="464"/>
      <c r="I19" s="174"/>
      <c r="J19" s="464"/>
      <c r="K19" s="151"/>
      <c r="L19" s="106"/>
      <c r="M19" s="105"/>
      <c r="N19" s="120"/>
      <c r="O19" s="112"/>
      <c r="P19" s="112"/>
      <c r="Q19" s="112"/>
      <c r="R19" s="112"/>
      <c r="S19" s="112"/>
      <c r="T19" s="112"/>
      <c r="U19" s="112"/>
      <c r="V19" s="112"/>
      <c r="W19" s="112"/>
      <c r="X19" s="112"/>
      <c r="Y19" s="112"/>
      <c r="Z19" s="112"/>
      <c r="AA19" s="112"/>
      <c r="AB19" s="113"/>
      <c r="AC19" s="105"/>
      <c r="AD19" s="105"/>
      <c r="AE19" s="704"/>
      <c r="AF19" s="704"/>
      <c r="AG19" s="704"/>
      <c r="AH19" s="83"/>
      <c r="AI19" s="83"/>
      <c r="AJ19" s="83"/>
      <c r="AK19" s="83"/>
      <c r="AL19" s="83"/>
      <c r="AM19" s="704"/>
      <c r="AN19" s="105"/>
      <c r="AO19" s="704"/>
      <c r="AP19" s="704"/>
      <c r="AQ19" s="704"/>
      <c r="AR19" s="704"/>
      <c r="AS19" s="704"/>
      <c r="AT19" s="105"/>
      <c r="AU19" s="105"/>
      <c r="AV19" s="83"/>
      <c r="AW19" s="83"/>
    </row>
    <row r="20" spans="1:49" ht="22.2" customHeight="1" x14ac:dyDescent="0.3">
      <c r="A20" s="83"/>
      <c r="B20" s="104"/>
      <c r="C20" s="116"/>
      <c r="D20" s="474"/>
      <c r="E20" s="171"/>
      <c r="F20" s="474"/>
      <c r="G20" s="105"/>
      <c r="H20" s="92"/>
      <c r="I20" s="92"/>
      <c r="J20" s="464"/>
      <c r="K20" s="151"/>
      <c r="L20" s="106"/>
      <c r="M20" s="105"/>
      <c r="N20" s="120"/>
      <c r="O20" s="112"/>
      <c r="P20" s="112"/>
      <c r="Q20" s="112"/>
      <c r="R20" s="112"/>
      <c r="S20" s="112"/>
      <c r="T20" s="112"/>
      <c r="U20" s="112"/>
      <c r="V20" s="112"/>
      <c r="W20" s="112"/>
      <c r="X20" s="112"/>
      <c r="Y20" s="112"/>
      <c r="Z20" s="112"/>
      <c r="AA20" s="112"/>
      <c r="AB20" s="113"/>
      <c r="AC20" s="105"/>
      <c r="AD20" s="105"/>
      <c r="AE20" s="704"/>
      <c r="AF20" s="704"/>
      <c r="AG20" s="704"/>
      <c r="AH20" s="83"/>
      <c r="AI20" s="83"/>
      <c r="AJ20" s="83"/>
      <c r="AK20" s="83"/>
      <c r="AL20" s="83"/>
      <c r="AM20" s="704"/>
      <c r="AN20" s="704"/>
      <c r="AO20" s="704"/>
      <c r="AP20" s="704"/>
      <c r="AQ20" s="704"/>
      <c r="AR20" s="704"/>
      <c r="AS20" s="704"/>
      <c r="AT20" s="105"/>
      <c r="AU20" s="105"/>
      <c r="AV20" s="83"/>
      <c r="AW20" s="83"/>
    </row>
    <row r="21" spans="1:49" ht="22.2" customHeight="1" x14ac:dyDescent="0.3">
      <c r="A21" s="83"/>
      <c r="B21" s="104"/>
      <c r="C21" s="116"/>
      <c r="D21" s="474"/>
      <c r="E21" s="171"/>
      <c r="F21" s="474"/>
      <c r="G21" s="105"/>
      <c r="H21" s="464"/>
      <c r="I21" s="174"/>
      <c r="J21" s="464"/>
      <c r="K21" s="151"/>
      <c r="L21" s="106"/>
      <c r="M21" s="105"/>
      <c r="N21" s="120"/>
      <c r="O21" s="112"/>
      <c r="P21" s="112"/>
      <c r="Q21" s="112"/>
      <c r="R21" s="112"/>
      <c r="S21" s="112"/>
      <c r="T21" s="112"/>
      <c r="U21" s="112"/>
      <c r="V21" s="112"/>
      <c r="W21" s="112"/>
      <c r="X21" s="112"/>
      <c r="Y21" s="112"/>
      <c r="Z21" s="112"/>
      <c r="AA21" s="112"/>
      <c r="AB21" s="113"/>
      <c r="AC21" s="105"/>
      <c r="AD21" s="105"/>
      <c r="AE21" s="704"/>
      <c r="AF21" s="704"/>
      <c r="AG21" s="704"/>
      <c r="AH21" s="83"/>
      <c r="AI21" s="83"/>
      <c r="AJ21" s="83"/>
      <c r="AK21" s="83"/>
      <c r="AL21" s="83"/>
      <c r="AM21" s="704"/>
      <c r="AN21" s="704"/>
      <c r="AO21" s="704"/>
      <c r="AP21" s="704"/>
      <c r="AQ21" s="704"/>
      <c r="AR21" s="704"/>
      <c r="AS21" s="704"/>
      <c r="AT21" s="105"/>
      <c r="AU21" s="105"/>
      <c r="AV21" s="83"/>
      <c r="AW21" s="83"/>
    </row>
    <row r="22" spans="1:49" ht="22.2" customHeight="1" x14ac:dyDescent="0.3">
      <c r="A22" s="83"/>
      <c r="B22" s="104"/>
      <c r="C22" s="116"/>
      <c r="D22" s="474"/>
      <c r="E22" s="171"/>
      <c r="F22" s="474"/>
      <c r="G22" s="105"/>
      <c r="H22" s="464"/>
      <c r="I22" s="174"/>
      <c r="J22" s="464"/>
      <c r="K22" s="151"/>
      <c r="L22" s="106"/>
      <c r="M22" s="105"/>
      <c r="N22" s="120"/>
      <c r="O22" s="112"/>
      <c r="P22" s="112"/>
      <c r="Q22" s="112"/>
      <c r="R22" s="112"/>
      <c r="S22" s="112"/>
      <c r="T22" s="112"/>
      <c r="U22" s="112"/>
      <c r="V22" s="112"/>
      <c r="W22" s="112"/>
      <c r="X22" s="112"/>
      <c r="Y22" s="112"/>
      <c r="Z22" s="112"/>
      <c r="AA22" s="112"/>
      <c r="AB22" s="113"/>
      <c r="AC22" s="105"/>
      <c r="AD22" s="105"/>
      <c r="AE22" s="704"/>
      <c r="AF22" s="704"/>
      <c r="AG22" s="704"/>
      <c r="AH22" s="83"/>
      <c r="AI22" s="83"/>
      <c r="AJ22" s="83"/>
      <c r="AK22" s="83"/>
      <c r="AL22" s="83"/>
      <c r="AM22" s="704"/>
      <c r="AN22" s="704"/>
      <c r="AO22" s="704"/>
      <c r="AP22" s="704"/>
      <c r="AQ22" s="704"/>
      <c r="AR22" s="704"/>
      <c r="AS22" s="704"/>
      <c r="AT22" s="105"/>
      <c r="AU22" s="105"/>
      <c r="AV22" s="83"/>
      <c r="AW22" s="83"/>
    </row>
    <row r="23" spans="1:49" ht="22.2" customHeight="1" x14ac:dyDescent="0.3">
      <c r="A23" s="83"/>
      <c r="B23" s="104"/>
      <c r="C23" s="149"/>
      <c r="D23" s="474"/>
      <c r="E23" s="171"/>
      <c r="F23" s="474"/>
      <c r="G23" s="701"/>
      <c r="H23" s="464"/>
      <c r="I23" s="464"/>
      <c r="J23" s="464"/>
      <c r="K23" s="151"/>
      <c r="L23" s="106"/>
      <c r="M23" s="105"/>
      <c r="N23" s="120"/>
      <c r="O23" s="112"/>
      <c r="P23" s="112"/>
      <c r="Q23" s="112"/>
      <c r="R23" s="112"/>
      <c r="S23" s="112"/>
      <c r="T23" s="112"/>
      <c r="U23" s="112"/>
      <c r="V23" s="112"/>
      <c r="W23" s="112"/>
      <c r="X23" s="112"/>
      <c r="Y23" s="112"/>
      <c r="Z23" s="112"/>
      <c r="AA23" s="112"/>
      <c r="AB23" s="113"/>
      <c r="AC23" s="105"/>
      <c r="AD23" s="105"/>
      <c r="AE23" s="704"/>
      <c r="AF23" s="704"/>
      <c r="AG23" s="704"/>
      <c r="AH23" s="83"/>
      <c r="AI23" s="83"/>
      <c r="AJ23" s="83"/>
      <c r="AK23" s="83"/>
      <c r="AL23" s="83"/>
      <c r="AM23" s="704"/>
      <c r="AN23" s="704"/>
      <c r="AO23" s="704"/>
      <c r="AP23" s="704"/>
      <c r="AQ23" s="704"/>
      <c r="AR23" s="704"/>
      <c r="AS23" s="704"/>
      <c r="AT23" s="105"/>
      <c r="AU23" s="105"/>
      <c r="AV23" s="83"/>
      <c r="AW23" s="83"/>
    </row>
    <row r="24" spans="1:49" ht="22.2" customHeight="1" x14ac:dyDescent="0.3">
      <c r="A24" s="83"/>
      <c r="B24" s="104"/>
      <c r="C24" s="149"/>
      <c r="D24" s="474"/>
      <c r="E24" s="171"/>
      <c r="F24" s="474"/>
      <c r="G24" s="701"/>
      <c r="H24" s="469"/>
      <c r="I24" s="469"/>
      <c r="J24" s="469"/>
      <c r="K24" s="151"/>
      <c r="L24" s="106"/>
      <c r="M24" s="105"/>
      <c r="N24" s="120"/>
      <c r="O24" s="112"/>
      <c r="P24" s="112"/>
      <c r="Q24" s="112"/>
      <c r="R24" s="112"/>
      <c r="S24" s="112"/>
      <c r="T24" s="112"/>
      <c r="U24" s="112"/>
      <c r="V24" s="112"/>
      <c r="W24" s="112"/>
      <c r="X24" s="112"/>
      <c r="Y24" s="112"/>
      <c r="Z24" s="112"/>
      <c r="AA24" s="112"/>
      <c r="AB24" s="113"/>
      <c r="AC24" s="105"/>
      <c r="AD24" s="105"/>
      <c r="AE24" s="704"/>
      <c r="AF24" s="704"/>
      <c r="AG24" s="704"/>
      <c r="AH24" s="83"/>
      <c r="AI24" s="83"/>
      <c r="AJ24" s="83"/>
      <c r="AK24" s="83"/>
      <c r="AL24" s="83"/>
      <c r="AM24" s="704"/>
      <c r="AN24" s="704"/>
      <c r="AO24" s="704"/>
      <c r="AP24" s="704"/>
      <c r="AQ24" s="704"/>
      <c r="AR24" s="704"/>
      <c r="AS24" s="105"/>
      <c r="AT24" s="105"/>
      <c r="AU24" s="83"/>
      <c r="AV24" s="83"/>
    </row>
    <row r="25" spans="1:49" ht="22.2" customHeight="1" x14ac:dyDescent="0.3">
      <c r="A25" s="83"/>
      <c r="B25" s="104"/>
      <c r="C25" s="149"/>
      <c r="D25" s="474"/>
      <c r="E25" s="171"/>
      <c r="F25" s="474"/>
      <c r="G25" s="701"/>
      <c r="H25" s="464"/>
      <c r="I25" s="199"/>
      <c r="J25" s="464"/>
      <c r="K25" s="151"/>
      <c r="L25" s="106"/>
      <c r="M25" s="105"/>
      <c r="N25" s="120"/>
      <c r="O25" s="112"/>
      <c r="P25" s="112"/>
      <c r="Q25" s="112"/>
      <c r="R25" s="112"/>
      <c r="S25" s="112"/>
      <c r="T25" s="112"/>
      <c r="U25" s="112"/>
      <c r="V25" s="112"/>
      <c r="W25" s="112"/>
      <c r="X25" s="112"/>
      <c r="Y25" s="112"/>
      <c r="Z25" s="112"/>
      <c r="AA25" s="112"/>
      <c r="AB25" s="113"/>
      <c r="AC25" s="105"/>
      <c r="AD25" s="105"/>
      <c r="AE25" s="704"/>
      <c r="AF25" s="704"/>
      <c r="AG25" s="704"/>
      <c r="AH25" s="83"/>
      <c r="AI25" s="83"/>
      <c r="AJ25" s="83"/>
      <c r="AK25" s="83"/>
      <c r="AL25" s="83"/>
      <c r="AM25" s="704"/>
      <c r="AN25" s="704"/>
      <c r="AO25" s="83"/>
      <c r="AP25" s="83"/>
    </row>
    <row r="26" spans="1:49" ht="22.2" customHeight="1" x14ac:dyDescent="0.3">
      <c r="A26" s="83"/>
      <c r="B26" s="104"/>
      <c r="C26" s="149"/>
      <c r="D26" s="474"/>
      <c r="E26" s="171"/>
      <c r="F26" s="474"/>
      <c r="G26" s="701"/>
      <c r="H26" s="464"/>
      <c r="I26" s="199"/>
      <c r="J26" s="464"/>
      <c r="K26" s="151"/>
      <c r="L26" s="106"/>
      <c r="M26" s="105"/>
      <c r="N26" s="120"/>
      <c r="O26" s="112"/>
      <c r="P26" s="112"/>
      <c r="Q26" s="112"/>
      <c r="R26" s="112"/>
      <c r="S26" s="112"/>
      <c r="T26" s="112"/>
      <c r="U26" s="112"/>
      <c r="V26" s="112"/>
      <c r="W26" s="112"/>
      <c r="X26" s="112"/>
      <c r="Y26" s="112"/>
      <c r="Z26" s="112"/>
      <c r="AA26" s="112"/>
      <c r="AB26" s="113"/>
      <c r="AC26" s="105"/>
      <c r="AD26" s="105"/>
      <c r="AE26" s="704"/>
      <c r="AF26" s="704"/>
      <c r="AG26" s="704"/>
      <c r="AH26" s="83"/>
      <c r="AI26" s="83"/>
      <c r="AJ26" s="83"/>
      <c r="AK26" s="83"/>
      <c r="AL26" s="83"/>
      <c r="AM26" s="704"/>
      <c r="AN26" s="704"/>
      <c r="AO26" s="83"/>
      <c r="AP26" s="83"/>
    </row>
    <row r="27" spans="1:49" ht="22.2" customHeight="1" x14ac:dyDescent="0.3">
      <c r="A27" s="83"/>
      <c r="B27" s="104"/>
      <c r="C27" s="149"/>
      <c r="D27" s="468"/>
      <c r="E27" s="468"/>
      <c r="F27" s="468"/>
      <c r="G27" s="701"/>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04"/>
      <c r="AF27" s="704"/>
      <c r="AG27" s="704"/>
      <c r="AH27" s="83"/>
      <c r="AI27" s="83"/>
      <c r="AJ27" s="83"/>
      <c r="AK27" s="83"/>
      <c r="AL27" s="83"/>
      <c r="AM27" s="704"/>
      <c r="AN27" s="704"/>
      <c r="AO27" s="83"/>
      <c r="AP27" s="83"/>
    </row>
    <row r="28" spans="1:49" ht="22.2" customHeight="1" x14ac:dyDescent="0.3">
      <c r="A28" s="83"/>
      <c r="B28" s="104"/>
      <c r="C28" s="149"/>
      <c r="D28" s="474"/>
      <c r="E28" s="171"/>
      <c r="F28" s="474"/>
      <c r="G28" s="701"/>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04"/>
      <c r="AF28" s="704"/>
      <c r="AG28" s="704"/>
      <c r="AH28" s="83"/>
      <c r="AI28" s="83"/>
      <c r="AJ28" s="83"/>
      <c r="AK28" s="83"/>
      <c r="AL28" s="83"/>
      <c r="AM28" s="704"/>
      <c r="AN28" s="704"/>
      <c r="AO28" s="83"/>
      <c r="AP28" s="83"/>
    </row>
    <row r="29" spans="1:49" ht="22.2" customHeight="1" x14ac:dyDescent="0.3">
      <c r="A29" s="83"/>
      <c r="B29" s="104"/>
      <c r="C29" s="149"/>
      <c r="D29" s="474"/>
      <c r="E29" s="171"/>
      <c r="F29" s="474"/>
      <c r="G29" s="701"/>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04"/>
      <c r="AF29" s="704"/>
      <c r="AG29" s="83"/>
      <c r="AH29" s="83"/>
      <c r="AI29" s="83"/>
      <c r="AJ29" s="83"/>
      <c r="AK29" s="83"/>
      <c r="AL29" s="83"/>
      <c r="AM29" s="704"/>
      <c r="AN29" s="704"/>
      <c r="AO29" s="83"/>
      <c r="AP29" s="83"/>
    </row>
    <row r="30" spans="1:49" ht="22.2" customHeight="1" x14ac:dyDescent="0.3">
      <c r="A30" s="83"/>
      <c r="B30" s="104"/>
      <c r="C30" s="149"/>
      <c r="D30" s="474"/>
      <c r="E30" s="171"/>
      <c r="F30" s="474"/>
      <c r="G30" s="701"/>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04"/>
      <c r="AG30" s="83"/>
      <c r="AH30" s="83"/>
      <c r="AI30" s="83"/>
      <c r="AJ30" s="83"/>
      <c r="AK30" s="83"/>
      <c r="AL30" s="83"/>
      <c r="AM30" s="704"/>
      <c r="AN30" s="704"/>
      <c r="AO30" s="83"/>
      <c r="AP30" s="83"/>
    </row>
    <row r="31" spans="1:49" ht="22.2" customHeight="1" x14ac:dyDescent="0.3">
      <c r="A31" s="83"/>
      <c r="B31" s="104"/>
      <c r="C31" s="149"/>
      <c r="D31" s="474"/>
      <c r="E31" s="171"/>
      <c r="F31" s="474"/>
      <c r="G31" s="701"/>
      <c r="H31" s="539" t="s">
        <v>360</v>
      </c>
      <c r="I31" s="539" t="s">
        <v>667</v>
      </c>
      <c r="J31" s="516"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04"/>
      <c r="AN31" s="704"/>
      <c r="AO31" s="83"/>
      <c r="AP31" s="83"/>
    </row>
    <row r="32" spans="1:49" ht="22.2" customHeight="1" x14ac:dyDescent="0.3">
      <c r="A32" s="83"/>
      <c r="B32" s="104"/>
      <c r="C32" s="149"/>
      <c r="D32" s="474"/>
      <c r="E32" s="171"/>
      <c r="F32" s="474"/>
      <c r="G32" s="701"/>
      <c r="H32" s="598" t="s">
        <v>671</v>
      </c>
      <c r="I32" s="527"/>
      <c r="J32" s="527" t="s">
        <v>690</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04"/>
      <c r="AN32" s="704"/>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04"/>
      <c r="AN33" s="704"/>
      <c r="AO33" s="83"/>
      <c r="AP33" s="83"/>
    </row>
    <row r="34" spans="1:42" ht="22.2" customHeight="1" x14ac:dyDescent="0.3">
      <c r="A34" s="83"/>
      <c r="B34" s="104"/>
      <c r="C34" s="926" t="str">
        <f>+E6&amp;": Environmental Performance"</f>
        <v>Plant A: Environmental Performance</v>
      </c>
      <c r="D34" s="927"/>
      <c r="E34" s="927"/>
      <c r="F34" s="927"/>
      <c r="G34" s="927"/>
      <c r="H34" s="927"/>
      <c r="I34" s="927"/>
      <c r="J34" s="927"/>
      <c r="K34" s="928"/>
      <c r="L34" s="106"/>
      <c r="M34" s="105"/>
      <c r="N34" s="116"/>
      <c r="O34" s="926" t="str">
        <f>+E6</f>
        <v>Plant A</v>
      </c>
      <c r="P34" s="927"/>
      <c r="Q34" s="927"/>
      <c r="R34" s="927"/>
      <c r="S34" s="927"/>
      <c r="T34" s="928"/>
      <c r="U34" s="92"/>
      <c r="V34" s="926" t="s">
        <v>696</v>
      </c>
      <c r="W34" s="927"/>
      <c r="X34" s="927"/>
      <c r="Y34" s="927"/>
      <c r="Z34" s="927"/>
      <c r="AA34" s="928"/>
      <c r="AB34" s="113"/>
      <c r="AC34" s="105"/>
      <c r="AD34" s="704"/>
      <c r="AE34" s="83"/>
      <c r="AF34" s="83"/>
      <c r="AG34" s="83"/>
      <c r="AH34" s="83"/>
      <c r="AI34" s="83"/>
      <c r="AJ34" s="83"/>
      <c r="AK34" s="83"/>
      <c r="AL34" s="83"/>
      <c r="AM34" s="704"/>
      <c r="AN34" s="704"/>
      <c r="AO34" s="83"/>
      <c r="AP34" s="83"/>
    </row>
    <row r="35" spans="1:42" ht="22.2" customHeight="1" x14ac:dyDescent="0.3">
      <c r="A35" s="83"/>
      <c r="B35" s="104"/>
      <c r="C35" s="156"/>
      <c r="D35" s="157"/>
      <c r="E35" s="157"/>
      <c r="F35" s="157"/>
      <c r="G35" s="157"/>
      <c r="H35" s="157"/>
      <c r="I35" s="157"/>
      <c r="J35" s="157"/>
      <c r="K35" s="369"/>
      <c r="L35" s="106"/>
      <c r="M35" s="105"/>
      <c r="N35" s="120"/>
      <c r="O35" s="112"/>
      <c r="P35" s="112"/>
      <c r="Q35" s="112"/>
      <c r="R35" s="112"/>
      <c r="S35" s="92"/>
      <c r="T35" s="112"/>
      <c r="U35" s="112"/>
      <c r="V35" s="112"/>
      <c r="W35" s="112"/>
      <c r="X35" s="112"/>
      <c r="Y35" s="112"/>
      <c r="Z35" s="112"/>
      <c r="AA35" s="112"/>
      <c r="AB35" s="113"/>
      <c r="AC35" s="105"/>
      <c r="AD35" s="704"/>
      <c r="AE35" s="83"/>
      <c r="AF35" s="83"/>
      <c r="AG35" s="83"/>
      <c r="AH35" s="83"/>
      <c r="AI35" s="83"/>
      <c r="AJ35" s="83"/>
      <c r="AK35" s="83"/>
      <c r="AL35" s="83"/>
      <c r="AM35" s="704"/>
      <c r="AN35" s="704"/>
      <c r="AO35" s="83"/>
      <c r="AP35" s="83"/>
    </row>
    <row r="36" spans="1:42" ht="22.2" customHeight="1" x14ac:dyDescent="0.3">
      <c r="A36" s="83"/>
      <c r="B36" s="104"/>
      <c r="C36" s="116"/>
      <c r="D36" s="147"/>
      <c r="E36" s="147"/>
      <c r="F36" s="147"/>
      <c r="G36" s="105"/>
      <c r="H36" s="468"/>
      <c r="I36" s="468"/>
      <c r="J36" s="468"/>
      <c r="K36" s="151"/>
      <c r="L36" s="106"/>
      <c r="M36" s="105"/>
      <c r="N36" s="120"/>
      <c r="O36" s="885" t="s">
        <v>580</v>
      </c>
      <c r="P36" s="886"/>
      <c r="Q36" s="886"/>
      <c r="R36" s="886"/>
      <c r="S36" s="886"/>
      <c r="T36" s="887"/>
      <c r="U36" s="92"/>
      <c r="V36" s="577" t="s">
        <v>360</v>
      </c>
      <c r="W36" s="631" t="s">
        <v>589</v>
      </c>
      <c r="X36" s="921" t="s">
        <v>357</v>
      </c>
      <c r="Y36" s="921"/>
      <c r="Z36" s="921"/>
      <c r="AA36" s="922"/>
      <c r="AB36" s="113"/>
      <c r="AC36" s="105"/>
      <c r="AD36" s="704"/>
      <c r="AE36" s="83"/>
      <c r="AF36" s="83"/>
      <c r="AG36" s="83"/>
      <c r="AH36" s="83"/>
      <c r="AI36" s="83"/>
      <c r="AJ36" s="83"/>
      <c r="AK36" s="83"/>
      <c r="AL36" s="83"/>
      <c r="AM36" s="704"/>
      <c r="AN36" s="704"/>
      <c r="AO36" s="83"/>
      <c r="AP36" s="83"/>
    </row>
    <row r="37" spans="1:42" ht="22.2" customHeight="1" x14ac:dyDescent="0.3">
      <c r="A37" s="83"/>
      <c r="B37" s="104"/>
      <c r="C37" s="116"/>
      <c r="D37" s="129"/>
      <c r="E37" s="256"/>
      <c r="F37" s="256"/>
      <c r="G37" s="105"/>
      <c r="H37" s="147"/>
      <c r="I37" s="129"/>
      <c r="J37" s="147"/>
      <c r="K37" s="151"/>
      <c r="L37" s="106"/>
      <c r="M37" s="105"/>
      <c r="N37" s="120"/>
      <c r="O37" s="912"/>
      <c r="P37" s="913"/>
      <c r="Q37" s="913"/>
      <c r="R37" s="913"/>
      <c r="S37" s="913"/>
      <c r="T37" s="914"/>
      <c r="U37" s="112"/>
      <c r="V37" s="699" t="s">
        <v>679</v>
      </c>
      <c r="W37" s="527" t="s">
        <v>240</v>
      </c>
      <c r="X37" s="923"/>
      <c r="Y37" s="923"/>
      <c r="Z37" s="923"/>
      <c r="AA37" s="924"/>
      <c r="AB37" s="113"/>
      <c r="AC37" s="105"/>
      <c r="AD37" s="704"/>
      <c r="AF37" s="83"/>
      <c r="AG37" s="83"/>
      <c r="AH37" s="83"/>
      <c r="AI37" s="83"/>
      <c r="AJ37" s="83"/>
      <c r="AK37" s="83"/>
      <c r="AL37" s="83"/>
      <c r="AM37" s="704"/>
      <c r="AN37" s="704"/>
      <c r="AO37" s="83"/>
      <c r="AP37" s="83"/>
    </row>
    <row r="38" spans="1:42" ht="22.2" customHeight="1" x14ac:dyDescent="0.3">
      <c r="A38" s="83"/>
      <c r="B38" s="104"/>
      <c r="C38" s="116"/>
      <c r="D38" s="256"/>
      <c r="E38" s="175"/>
      <c r="F38" s="256"/>
      <c r="G38" s="105"/>
      <c r="H38" s="256"/>
      <c r="I38" s="200"/>
      <c r="J38" s="256"/>
      <c r="K38" s="151"/>
      <c r="L38" s="106"/>
      <c r="M38" s="105"/>
      <c r="N38" s="120"/>
      <c r="O38" s="915"/>
      <c r="P38" s="916"/>
      <c r="Q38" s="916"/>
      <c r="R38" s="916"/>
      <c r="S38" s="916"/>
      <c r="T38" s="917"/>
      <c r="U38" s="112"/>
      <c r="V38" s="699" t="s">
        <v>680</v>
      </c>
      <c r="W38" s="527" t="s">
        <v>453</v>
      </c>
      <c r="X38" s="923"/>
      <c r="Y38" s="923"/>
      <c r="Z38" s="923"/>
      <c r="AA38" s="924"/>
      <c r="AB38" s="113"/>
      <c r="AC38" s="105"/>
      <c r="AD38" s="704"/>
      <c r="AG38" s="83"/>
      <c r="AH38" s="83"/>
      <c r="AI38" s="83"/>
      <c r="AJ38" s="83"/>
      <c r="AK38" s="83"/>
      <c r="AL38" s="83"/>
      <c r="AM38" s="704"/>
      <c r="AN38" s="704"/>
      <c r="AO38" s="83"/>
      <c r="AP38" s="83"/>
    </row>
    <row r="39" spans="1:42" ht="22.2" customHeight="1" x14ac:dyDescent="0.3">
      <c r="A39" s="83"/>
      <c r="B39" s="104"/>
      <c r="C39" s="116"/>
      <c r="D39" s="256"/>
      <c r="E39" s="175"/>
      <c r="F39" s="256"/>
      <c r="G39" s="105"/>
      <c r="H39" s="147"/>
      <c r="I39" s="147"/>
      <c r="J39" s="147"/>
      <c r="K39" s="151"/>
      <c r="L39" s="106"/>
      <c r="M39" s="105"/>
      <c r="N39" s="120"/>
      <c r="O39" s="915"/>
      <c r="P39" s="916"/>
      <c r="Q39" s="916"/>
      <c r="R39" s="916"/>
      <c r="S39" s="916"/>
      <c r="T39" s="917"/>
      <c r="U39" s="112"/>
      <c r="V39" s="699" t="s">
        <v>681</v>
      </c>
      <c r="W39" s="527" t="s">
        <v>454</v>
      </c>
      <c r="X39" s="910"/>
      <c r="Y39" s="910"/>
      <c r="Z39" s="910"/>
      <c r="AA39" s="911"/>
      <c r="AB39" s="113"/>
      <c r="AC39" s="105"/>
      <c r="AD39" s="704"/>
      <c r="AG39" s="83"/>
      <c r="AH39" s="83"/>
      <c r="AI39" s="83"/>
      <c r="AJ39" s="83"/>
      <c r="AK39" s="83"/>
      <c r="AL39" s="83"/>
      <c r="AM39" s="704"/>
      <c r="AN39" s="704"/>
      <c r="AO39" s="83"/>
      <c r="AP39" s="83"/>
    </row>
    <row r="40" spans="1:42" ht="22.2" customHeight="1" x14ac:dyDescent="0.3">
      <c r="A40" s="83"/>
      <c r="B40" s="104"/>
      <c r="C40" s="116"/>
      <c r="D40" s="256"/>
      <c r="E40" s="175"/>
      <c r="F40" s="256"/>
      <c r="G40" s="105"/>
      <c r="H40" s="147"/>
      <c r="I40" s="147"/>
      <c r="J40" s="147"/>
      <c r="K40" s="151"/>
      <c r="L40" s="106"/>
      <c r="M40" s="105"/>
      <c r="N40" s="120"/>
      <c r="O40" s="915"/>
      <c r="P40" s="916"/>
      <c r="Q40" s="916"/>
      <c r="R40" s="916"/>
      <c r="S40" s="916"/>
      <c r="T40" s="917"/>
      <c r="U40" s="112"/>
      <c r="V40" s="699" t="s">
        <v>682</v>
      </c>
      <c r="W40" s="527" t="s">
        <v>455</v>
      </c>
      <c r="X40" s="923"/>
      <c r="Y40" s="923"/>
      <c r="Z40" s="923"/>
      <c r="AA40" s="924"/>
      <c r="AB40" s="113"/>
      <c r="AC40" s="105"/>
      <c r="AD40" s="704"/>
      <c r="AG40" s="83"/>
      <c r="AH40" s="83"/>
      <c r="AI40" s="83"/>
      <c r="AJ40" s="83"/>
      <c r="AK40" s="83"/>
      <c r="AL40" s="83"/>
      <c r="AM40" s="704"/>
      <c r="AN40" s="704"/>
      <c r="AO40" s="83"/>
      <c r="AP40" s="83"/>
    </row>
    <row r="41" spans="1:42" ht="22.2" customHeight="1" x14ac:dyDescent="0.3">
      <c r="A41" s="83"/>
      <c r="B41" s="104"/>
      <c r="C41" s="116"/>
      <c r="D41" s="256"/>
      <c r="E41" s="175"/>
      <c r="F41" s="256"/>
      <c r="G41" s="105"/>
      <c r="H41" s="147"/>
      <c r="I41" s="147"/>
      <c r="J41" s="147"/>
      <c r="K41" s="151"/>
      <c r="L41" s="106"/>
      <c r="M41" s="105"/>
      <c r="N41" s="120"/>
      <c r="O41" s="915"/>
      <c r="P41" s="916"/>
      <c r="Q41" s="916"/>
      <c r="R41" s="916"/>
      <c r="S41" s="916"/>
      <c r="T41" s="917"/>
      <c r="U41" s="112"/>
      <c r="V41" s="696"/>
      <c r="W41" s="192"/>
      <c r="X41" s="910"/>
      <c r="Y41" s="910"/>
      <c r="Z41" s="910"/>
      <c r="AA41" s="911"/>
      <c r="AB41" s="698"/>
      <c r="AC41" s="105"/>
      <c r="AD41" s="704"/>
      <c r="AG41" s="83"/>
      <c r="AH41" s="83"/>
      <c r="AI41" s="83"/>
      <c r="AK41" s="83"/>
      <c r="AL41" s="83"/>
      <c r="AM41" s="704"/>
      <c r="AN41" s="704"/>
      <c r="AO41" s="83"/>
      <c r="AP41" s="83"/>
    </row>
    <row r="42" spans="1:42" ht="22.2" customHeight="1" x14ac:dyDescent="0.3">
      <c r="A42" s="83"/>
      <c r="B42" s="104"/>
      <c r="C42" s="149"/>
      <c r="D42" s="256"/>
      <c r="E42" s="175"/>
      <c r="F42" s="256"/>
      <c r="G42" s="105"/>
      <c r="H42" s="147"/>
      <c r="I42" s="147"/>
      <c r="J42" s="147"/>
      <c r="K42" s="151"/>
      <c r="L42" s="106"/>
      <c r="M42" s="105"/>
      <c r="N42" s="120"/>
      <c r="O42" s="915"/>
      <c r="P42" s="916"/>
      <c r="Q42" s="916"/>
      <c r="R42" s="916"/>
      <c r="S42" s="916"/>
      <c r="T42" s="917"/>
      <c r="U42" s="112"/>
      <c r="V42" s="696"/>
      <c r="W42" s="192"/>
      <c r="X42" s="910"/>
      <c r="Y42" s="910"/>
      <c r="Z42" s="910"/>
      <c r="AA42" s="911"/>
      <c r="AB42" s="113"/>
      <c r="AC42" s="105"/>
      <c r="AD42" s="704"/>
      <c r="AG42" s="83"/>
      <c r="AH42" s="83"/>
      <c r="AI42" s="83"/>
      <c r="AK42" s="83"/>
      <c r="AL42" s="83"/>
      <c r="AM42" s="83"/>
      <c r="AN42" s="704"/>
      <c r="AO42" s="83"/>
      <c r="AP42" s="83"/>
    </row>
    <row r="43" spans="1:42" ht="22.2" customHeight="1" x14ac:dyDescent="0.3">
      <c r="A43" s="83"/>
      <c r="B43" s="104"/>
      <c r="C43" s="149"/>
      <c r="D43" s="464"/>
      <c r="E43" s="175"/>
      <c r="F43" s="256"/>
      <c r="G43" s="701"/>
      <c r="H43" s="701"/>
      <c r="I43" s="701"/>
      <c r="J43" s="701"/>
      <c r="K43" s="151"/>
      <c r="L43" s="106"/>
      <c r="M43" s="105"/>
      <c r="N43" s="120"/>
      <c r="O43" s="915"/>
      <c r="P43" s="916"/>
      <c r="Q43" s="916"/>
      <c r="R43" s="916"/>
      <c r="S43" s="916"/>
      <c r="T43" s="917"/>
      <c r="U43" s="112"/>
      <c r="V43" s="696"/>
      <c r="W43" s="192"/>
      <c r="X43" s="910"/>
      <c r="Y43" s="910"/>
      <c r="Z43" s="910"/>
      <c r="AA43" s="911"/>
      <c r="AB43" s="113"/>
      <c r="AC43" s="105"/>
      <c r="AD43" s="704"/>
      <c r="AG43" s="83"/>
      <c r="AH43" s="83"/>
      <c r="AI43" s="83"/>
      <c r="AK43" s="83"/>
      <c r="AL43" s="83"/>
      <c r="AM43" s="83"/>
      <c r="AN43" s="83"/>
      <c r="AO43" s="83"/>
      <c r="AP43" s="83"/>
    </row>
    <row r="44" spans="1:42" ht="22.2" customHeight="1" x14ac:dyDescent="0.3">
      <c r="A44" s="83"/>
      <c r="B44" s="104"/>
      <c r="C44" s="149"/>
      <c r="D44" s="701"/>
      <c r="E44" s="701"/>
      <c r="F44" s="474"/>
      <c r="G44" s="701"/>
      <c r="H44" s="701"/>
      <c r="I44" s="701"/>
      <c r="J44" s="701"/>
      <c r="K44" s="151"/>
      <c r="L44" s="106"/>
      <c r="M44" s="105"/>
      <c r="N44" s="120"/>
      <c r="O44" s="915"/>
      <c r="P44" s="916"/>
      <c r="Q44" s="916"/>
      <c r="R44" s="916"/>
      <c r="S44" s="916"/>
      <c r="T44" s="917"/>
      <c r="U44" s="112"/>
      <c r="V44" s="696"/>
      <c r="W44" s="192"/>
      <c r="X44" s="910"/>
      <c r="Y44" s="910"/>
      <c r="Z44" s="910"/>
      <c r="AA44" s="911"/>
      <c r="AB44" s="113"/>
      <c r="AC44" s="105"/>
      <c r="AD44" s="704"/>
      <c r="AG44" s="83"/>
      <c r="AI44" s="83"/>
      <c r="AK44" s="83"/>
      <c r="AM44" s="83"/>
      <c r="AN44" s="83"/>
      <c r="AO44" s="83"/>
      <c r="AP44" s="83"/>
    </row>
    <row r="45" spans="1:42" ht="22.2" customHeight="1" x14ac:dyDescent="0.3">
      <c r="A45" s="83"/>
      <c r="B45" s="104"/>
      <c r="C45" s="149"/>
      <c r="D45" s="209"/>
      <c r="E45" s="209"/>
      <c r="F45" s="209"/>
      <c r="G45" s="701"/>
      <c r="H45" s="701"/>
      <c r="I45" s="701"/>
      <c r="J45" s="701"/>
      <c r="K45" s="151"/>
      <c r="L45" s="106"/>
      <c r="M45" s="105"/>
      <c r="N45" s="120"/>
      <c r="O45" s="915"/>
      <c r="P45" s="916"/>
      <c r="Q45" s="916"/>
      <c r="R45" s="916"/>
      <c r="S45" s="916"/>
      <c r="T45" s="917"/>
      <c r="U45" s="112"/>
      <c r="V45" s="696"/>
      <c r="W45" s="192"/>
      <c r="X45" s="910"/>
      <c r="Y45" s="910"/>
      <c r="Z45" s="910"/>
      <c r="AA45" s="911"/>
      <c r="AB45" s="113"/>
      <c r="AC45" s="105"/>
      <c r="AD45" s="704"/>
      <c r="AG45" s="83"/>
      <c r="AM45" s="83"/>
      <c r="AN45" s="83"/>
      <c r="AO45" s="83"/>
      <c r="AP45" s="83"/>
    </row>
    <row r="46" spans="1:42" ht="22.2" customHeight="1" x14ac:dyDescent="0.3">
      <c r="A46" s="83"/>
      <c r="B46" s="104"/>
      <c r="C46" s="149"/>
      <c r="D46" s="464"/>
      <c r="E46" s="199"/>
      <c r="F46" s="464"/>
      <c r="G46" s="701"/>
      <c r="H46" s="701"/>
      <c r="I46" s="701"/>
      <c r="J46" s="701"/>
      <c r="K46" s="151"/>
      <c r="L46" s="106"/>
      <c r="M46" s="105"/>
      <c r="N46" s="120"/>
      <c r="O46" s="915"/>
      <c r="P46" s="916"/>
      <c r="Q46" s="916"/>
      <c r="R46" s="916"/>
      <c r="S46" s="916"/>
      <c r="T46" s="917"/>
      <c r="U46" s="112"/>
      <c r="V46" s="696"/>
      <c r="W46" s="192"/>
      <c r="X46" s="697"/>
      <c r="Y46" s="697"/>
      <c r="Z46" s="715"/>
      <c r="AA46" s="113"/>
      <c r="AB46" s="113"/>
      <c r="AC46" s="105"/>
      <c r="AD46" s="704"/>
      <c r="AG46" s="83"/>
      <c r="AM46" s="83"/>
      <c r="AN46" s="83"/>
      <c r="AO46" s="83"/>
      <c r="AP46" s="83"/>
    </row>
    <row r="47" spans="1:42" ht="22.2" customHeight="1" x14ac:dyDescent="0.3">
      <c r="A47" s="83"/>
      <c r="B47" s="104"/>
      <c r="C47" s="149"/>
      <c r="D47" s="464"/>
      <c r="E47" s="199"/>
      <c r="F47" s="464"/>
      <c r="G47" s="701"/>
      <c r="H47" s="92"/>
      <c r="I47" s="92"/>
      <c r="J47" s="92"/>
      <c r="K47" s="151"/>
      <c r="L47" s="106"/>
      <c r="M47" s="105"/>
      <c r="N47" s="120"/>
      <c r="O47" s="915"/>
      <c r="P47" s="916"/>
      <c r="Q47" s="916"/>
      <c r="R47" s="916"/>
      <c r="S47" s="916"/>
      <c r="T47" s="917"/>
      <c r="U47" s="112"/>
      <c r="V47" s="696"/>
      <c r="W47" s="192"/>
      <c r="X47" s="697"/>
      <c r="Y47" s="697"/>
      <c r="Z47" s="715"/>
      <c r="AA47" s="113"/>
      <c r="AB47" s="113"/>
      <c r="AC47" s="105"/>
      <c r="AD47" s="704"/>
      <c r="AG47" s="83"/>
      <c r="AM47" s="83"/>
      <c r="AN47" s="83"/>
      <c r="AO47" s="83"/>
      <c r="AP47" s="83"/>
    </row>
    <row r="48" spans="1:42" ht="22.2" customHeight="1" x14ac:dyDescent="0.3">
      <c r="A48" s="83"/>
      <c r="B48" s="104"/>
      <c r="C48" s="149"/>
      <c r="D48" s="464"/>
      <c r="E48" s="175"/>
      <c r="F48" s="464"/>
      <c r="G48" s="701"/>
      <c r="H48" s="92"/>
      <c r="I48" s="92"/>
      <c r="J48" s="92"/>
      <c r="K48" s="151"/>
      <c r="L48" s="106"/>
      <c r="M48" s="105"/>
      <c r="N48" s="120"/>
      <c r="O48" s="915"/>
      <c r="P48" s="916"/>
      <c r="Q48" s="916"/>
      <c r="R48" s="916"/>
      <c r="S48" s="916"/>
      <c r="T48" s="917"/>
      <c r="U48" s="112"/>
      <c r="V48" s="696"/>
      <c r="W48" s="192"/>
      <c r="X48" s="697"/>
      <c r="Y48" s="697"/>
      <c r="Z48" s="715"/>
      <c r="AA48" s="113"/>
      <c r="AB48" s="113"/>
      <c r="AC48" s="105"/>
      <c r="AD48" s="704"/>
      <c r="AG48" s="83"/>
      <c r="AM48" s="83"/>
      <c r="AN48" s="83"/>
      <c r="AO48" s="83"/>
      <c r="AP48" s="83"/>
    </row>
    <row r="49" spans="1:42" ht="22.2" customHeight="1" x14ac:dyDescent="0.3">
      <c r="A49" s="83"/>
      <c r="B49" s="104"/>
      <c r="C49" s="149"/>
      <c r="D49" s="464"/>
      <c r="E49" s="175"/>
      <c r="F49" s="464"/>
      <c r="G49" s="701"/>
      <c r="H49" s="92"/>
      <c r="I49" s="92"/>
      <c r="J49" s="92"/>
      <c r="K49" s="151"/>
      <c r="L49" s="106"/>
      <c r="M49" s="105"/>
      <c r="N49" s="120"/>
      <c r="O49" s="915"/>
      <c r="P49" s="916"/>
      <c r="Q49" s="916"/>
      <c r="R49" s="916"/>
      <c r="S49" s="916"/>
      <c r="T49" s="917"/>
      <c r="U49" s="112"/>
      <c r="V49" s="696"/>
      <c r="W49" s="192"/>
      <c r="X49" s="697"/>
      <c r="Y49" s="697"/>
      <c r="Z49" s="715"/>
      <c r="AA49" s="113"/>
      <c r="AB49" s="113"/>
      <c r="AC49" s="105"/>
      <c r="AD49" s="704"/>
      <c r="AG49" s="83"/>
      <c r="AM49" s="83"/>
      <c r="AN49" s="83"/>
      <c r="AO49" s="83"/>
      <c r="AP49" s="83"/>
    </row>
    <row r="50" spans="1:42" ht="22.2" customHeight="1" x14ac:dyDescent="0.3">
      <c r="A50" s="83"/>
      <c r="B50" s="104"/>
      <c r="C50" s="149"/>
      <c r="D50" s="701"/>
      <c r="E50" s="701"/>
      <c r="F50" s="701"/>
      <c r="G50" s="701"/>
      <c r="H50" s="92"/>
      <c r="I50" s="92"/>
      <c r="J50" s="92"/>
      <c r="K50" s="151"/>
      <c r="L50" s="106"/>
      <c r="M50" s="105"/>
      <c r="N50" s="120"/>
      <c r="O50" s="915"/>
      <c r="P50" s="916"/>
      <c r="Q50" s="916"/>
      <c r="R50" s="916"/>
      <c r="S50" s="916"/>
      <c r="T50" s="917"/>
      <c r="U50" s="112"/>
      <c r="V50" s="696"/>
      <c r="W50" s="192"/>
      <c r="X50" s="697"/>
      <c r="Y50" s="697"/>
      <c r="Z50" s="715"/>
      <c r="AA50" s="113"/>
      <c r="AB50" s="113"/>
      <c r="AC50" s="105"/>
      <c r="AD50" s="704"/>
      <c r="AG50" s="83"/>
      <c r="AM50" s="83"/>
      <c r="AN50" s="83"/>
      <c r="AO50" s="83"/>
      <c r="AP50" s="83"/>
    </row>
    <row r="51" spans="1:42" ht="22.2" customHeight="1" x14ac:dyDescent="0.3">
      <c r="A51" s="83"/>
      <c r="B51" s="104"/>
      <c r="C51" s="149"/>
      <c r="D51" s="701"/>
      <c r="E51" s="701"/>
      <c r="F51" s="701"/>
      <c r="G51" s="701"/>
      <c r="H51" s="539" t="s">
        <v>360</v>
      </c>
      <c r="I51" s="539" t="s">
        <v>667</v>
      </c>
      <c r="J51" s="516" t="s">
        <v>235</v>
      </c>
      <c r="K51" s="151"/>
      <c r="L51" s="106"/>
      <c r="M51" s="105"/>
      <c r="N51" s="120"/>
      <c r="O51" s="915"/>
      <c r="P51" s="916"/>
      <c r="Q51" s="916"/>
      <c r="R51" s="916"/>
      <c r="S51" s="916"/>
      <c r="T51" s="917"/>
      <c r="U51" s="112"/>
      <c r="V51" s="696"/>
      <c r="W51" s="192"/>
      <c r="X51" s="697"/>
      <c r="Y51" s="697"/>
      <c r="Z51" s="715"/>
      <c r="AA51" s="113"/>
      <c r="AB51" s="113"/>
      <c r="AC51" s="105"/>
      <c r="AD51" s="704"/>
      <c r="AG51" s="83"/>
      <c r="AM51" s="83"/>
      <c r="AN51" s="83"/>
      <c r="AO51" s="83"/>
      <c r="AP51" s="83"/>
    </row>
    <row r="52" spans="1:42" ht="22.2" customHeight="1" x14ac:dyDescent="0.3">
      <c r="A52" s="83"/>
      <c r="B52" s="104"/>
      <c r="C52" s="149"/>
      <c r="D52" s="701"/>
      <c r="E52" s="701"/>
      <c r="F52" s="701"/>
      <c r="G52" s="701"/>
      <c r="H52" s="598" t="s">
        <v>670</v>
      </c>
      <c r="I52" s="527"/>
      <c r="J52" s="527" t="s">
        <v>763</v>
      </c>
      <c r="K52" s="151"/>
      <c r="L52" s="106"/>
      <c r="M52" s="105"/>
      <c r="N52" s="120"/>
      <c r="O52" s="915"/>
      <c r="P52" s="916"/>
      <c r="Q52" s="916"/>
      <c r="R52" s="916"/>
      <c r="S52" s="916"/>
      <c r="T52" s="917"/>
      <c r="U52" s="112"/>
      <c r="V52" s="696"/>
      <c r="W52" s="192"/>
      <c r="X52" s="697"/>
      <c r="Y52" s="697"/>
      <c r="Z52" s="715"/>
      <c r="AA52" s="113"/>
      <c r="AB52" s="113"/>
      <c r="AC52" s="105"/>
      <c r="AD52" s="704"/>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918"/>
      <c r="P53" s="919"/>
      <c r="Q53" s="919"/>
      <c r="R53" s="919"/>
      <c r="S53" s="919"/>
      <c r="T53" s="920"/>
      <c r="U53" s="112"/>
      <c r="V53" s="121"/>
      <c r="W53" s="702"/>
      <c r="X53" s="122"/>
      <c r="Y53" s="122"/>
      <c r="Z53" s="122"/>
      <c r="AA53" s="123"/>
      <c r="AB53" s="113"/>
      <c r="AC53" s="105"/>
      <c r="AD53" s="704"/>
      <c r="AG53" s="83"/>
      <c r="AM53" s="83"/>
      <c r="AN53" s="83"/>
      <c r="AO53" s="83"/>
      <c r="AP53" s="83"/>
    </row>
    <row r="54" spans="1:42" ht="22.2" customHeight="1" x14ac:dyDescent="0.3">
      <c r="A54" s="83"/>
      <c r="B54" s="104"/>
      <c r="C54" s="926" t="str">
        <f>+E6&amp;" Fuel / Raw Materials"</f>
        <v>Plant A Fuel / Raw Materials</v>
      </c>
      <c r="D54" s="927"/>
      <c r="E54" s="927"/>
      <c r="F54" s="927"/>
      <c r="G54" s="927"/>
      <c r="H54" s="927"/>
      <c r="I54" s="927"/>
      <c r="J54" s="927"/>
      <c r="K54" s="928"/>
      <c r="L54" s="106"/>
      <c r="M54" s="105"/>
      <c r="N54" s="120"/>
      <c r="O54" s="112"/>
      <c r="P54" s="112"/>
      <c r="Q54" s="112"/>
      <c r="R54" s="112"/>
      <c r="S54" s="112"/>
      <c r="T54" s="112"/>
      <c r="U54" s="112"/>
      <c r="V54" s="112"/>
      <c r="W54" s="112"/>
      <c r="X54" s="112"/>
      <c r="Y54" s="112"/>
      <c r="Z54" s="112"/>
      <c r="AA54" s="112"/>
      <c r="AB54" s="113"/>
      <c r="AC54" s="105"/>
      <c r="AD54" s="704"/>
      <c r="AE54" s="83"/>
      <c r="AG54" s="83"/>
      <c r="AM54" s="83"/>
      <c r="AN54" s="83"/>
      <c r="AO54" s="83"/>
      <c r="AP54" s="83"/>
    </row>
    <row r="55" spans="1:42" ht="22.2" customHeight="1" x14ac:dyDescent="0.3">
      <c r="A55" s="83"/>
      <c r="B55" s="104"/>
      <c r="C55" s="156"/>
      <c r="D55" s="157"/>
      <c r="E55" s="157"/>
      <c r="F55" s="157"/>
      <c r="G55" s="157"/>
      <c r="H55" s="157"/>
      <c r="I55" s="157"/>
      <c r="J55" s="157"/>
      <c r="K55" s="369"/>
      <c r="L55" s="106"/>
      <c r="M55" s="83"/>
      <c r="N55" s="104"/>
      <c r="O55" s="926" t="s">
        <v>733</v>
      </c>
      <c r="P55" s="927"/>
      <c r="Q55" s="927"/>
      <c r="R55" s="927"/>
      <c r="S55" s="927"/>
      <c r="T55" s="928"/>
      <c r="U55" s="105"/>
      <c r="V55" s="929" t="s">
        <v>741</v>
      </c>
      <c r="W55" s="930"/>
      <c r="X55" s="930"/>
      <c r="Y55" s="930"/>
      <c r="Z55" s="930"/>
      <c r="AA55" s="931"/>
      <c r="AB55" s="106"/>
      <c r="AC55" s="105"/>
      <c r="AD55" s="83"/>
      <c r="AE55" s="83"/>
      <c r="AF55" s="83"/>
      <c r="AG55" s="83"/>
      <c r="AM55" s="83"/>
      <c r="AN55" s="83"/>
      <c r="AO55" s="83"/>
      <c r="AP55" s="83"/>
    </row>
    <row r="56" spans="1:42" ht="22.2" customHeight="1" x14ac:dyDescent="0.3">
      <c r="A56" s="83"/>
      <c r="B56" s="91"/>
      <c r="C56" s="116"/>
      <c r="D56" s="147"/>
      <c r="E56" s="147"/>
      <c r="F56" s="147"/>
      <c r="G56" s="105"/>
      <c r="H56" s="468"/>
      <c r="I56" s="468"/>
      <c r="J56" s="468"/>
      <c r="K56" s="151"/>
      <c r="L56" s="106"/>
      <c r="M56" s="83"/>
      <c r="N56" s="91"/>
      <c r="O56" s="399"/>
      <c r="P56" s="400"/>
      <c r="Q56" s="400"/>
      <c r="R56" s="400"/>
      <c r="S56" s="400"/>
      <c r="T56" s="401"/>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6"/>
      <c r="F57" s="256"/>
      <c r="G57" s="105"/>
      <c r="H57" s="147"/>
      <c r="I57" s="129"/>
      <c r="J57" s="147"/>
      <c r="K57" s="151"/>
      <c r="L57" s="106"/>
      <c r="M57" s="83"/>
      <c r="N57" s="104"/>
      <c r="O57" s="91"/>
      <c r="T57" s="84"/>
      <c r="U57" s="105"/>
      <c r="V57" s="104"/>
      <c r="W57" s="942" t="s">
        <v>734</v>
      </c>
      <c r="X57" s="942"/>
      <c r="Y57" s="942"/>
      <c r="Z57" s="542" t="s">
        <v>342</v>
      </c>
      <c r="AA57" s="106"/>
      <c r="AB57" s="106"/>
      <c r="AC57" s="83"/>
      <c r="AD57" s="83"/>
      <c r="AE57" s="83"/>
      <c r="AF57" s="83"/>
      <c r="AG57" s="83"/>
      <c r="AM57" s="83"/>
      <c r="AN57" s="83"/>
      <c r="AO57" s="83"/>
      <c r="AP57" s="83"/>
    </row>
    <row r="58" spans="1:42" ht="22.2" customHeight="1" x14ac:dyDescent="0.3">
      <c r="A58" s="83"/>
      <c r="B58" s="91"/>
      <c r="C58" s="116"/>
      <c r="D58" s="256"/>
      <c r="E58" s="175"/>
      <c r="F58" s="256"/>
      <c r="G58" s="105"/>
      <c r="H58" s="256"/>
      <c r="I58" s="200"/>
      <c r="J58" s="256"/>
      <c r="K58" s="151"/>
      <c r="L58" s="106"/>
      <c r="M58" s="83"/>
      <c r="N58" s="104"/>
      <c r="O58" s="91"/>
      <c r="P58" s="900" t="s">
        <v>766</v>
      </c>
      <c r="Q58" s="901"/>
      <c r="R58" s="902"/>
      <c r="S58" s="906"/>
      <c r="T58" s="84"/>
      <c r="U58" s="105"/>
      <c r="V58" s="104"/>
      <c r="W58" s="943" t="s">
        <v>578</v>
      </c>
      <c r="X58" s="713"/>
      <c r="Y58" s="945" t="s">
        <v>579</v>
      </c>
      <c r="Z58" s="947">
        <v>1</v>
      </c>
      <c r="AA58" s="106"/>
      <c r="AB58" s="106"/>
      <c r="AC58" s="83"/>
      <c r="AD58" s="83"/>
      <c r="AE58" s="83"/>
      <c r="AF58" s="83"/>
      <c r="AG58" s="83"/>
      <c r="AM58" s="83"/>
      <c r="AN58" s="83"/>
      <c r="AO58" s="83"/>
      <c r="AP58" s="83"/>
    </row>
    <row r="59" spans="1:42" ht="22.2" customHeight="1" x14ac:dyDescent="0.3">
      <c r="A59" s="83"/>
      <c r="B59" s="91"/>
      <c r="C59" s="116"/>
      <c r="D59" s="256"/>
      <c r="E59" s="175"/>
      <c r="F59" s="256"/>
      <c r="G59" s="105"/>
      <c r="H59" s="147"/>
      <c r="I59" s="147"/>
      <c r="J59" s="147"/>
      <c r="K59" s="151"/>
      <c r="L59" s="106"/>
      <c r="M59" s="83"/>
      <c r="N59" s="104"/>
      <c r="O59" s="91"/>
      <c r="P59" s="903"/>
      <c r="Q59" s="904"/>
      <c r="R59" s="905"/>
      <c r="S59" s="907"/>
      <c r="T59" s="84"/>
      <c r="U59" s="105"/>
      <c r="V59" s="104"/>
      <c r="W59" s="944"/>
      <c r="X59" s="714"/>
      <c r="Y59" s="946"/>
      <c r="Z59" s="948"/>
      <c r="AA59" s="106"/>
      <c r="AB59" s="106"/>
      <c r="AC59" s="83"/>
      <c r="AD59" s="83"/>
      <c r="AE59" s="83"/>
      <c r="AF59" s="83"/>
      <c r="AG59" s="83"/>
      <c r="AM59" s="83"/>
      <c r="AN59" s="83"/>
      <c r="AO59" s="83"/>
      <c r="AP59" s="83"/>
    </row>
    <row r="60" spans="1:42" ht="22.2" customHeight="1" x14ac:dyDescent="0.35">
      <c r="A60" s="83"/>
      <c r="B60" s="91"/>
      <c r="C60" s="116"/>
      <c r="D60" s="256"/>
      <c r="E60" s="175"/>
      <c r="F60" s="256"/>
      <c r="G60" s="105"/>
      <c r="H60" s="147"/>
      <c r="I60" s="147"/>
      <c r="J60" s="147"/>
      <c r="K60" s="151"/>
      <c r="L60" s="106"/>
      <c r="M60" s="83"/>
      <c r="N60" s="104"/>
      <c r="O60" s="91"/>
      <c r="P60" s="779"/>
      <c r="Q60" s="779"/>
      <c r="R60" s="653"/>
      <c r="T60" s="84"/>
      <c r="U60" s="105"/>
      <c r="V60" s="104"/>
      <c r="AA60" s="106"/>
      <c r="AB60" s="106"/>
      <c r="AC60" s="83"/>
      <c r="AD60" s="83"/>
      <c r="AE60" s="83"/>
      <c r="AF60" s="83"/>
      <c r="AM60" s="83"/>
      <c r="AN60" s="83"/>
      <c r="AO60" s="83"/>
      <c r="AP60" s="83"/>
    </row>
    <row r="61" spans="1:42" ht="22.2" customHeight="1" x14ac:dyDescent="0.3">
      <c r="A61" s="83"/>
      <c r="B61" s="91"/>
      <c r="C61" s="116"/>
      <c r="D61" s="256"/>
      <c r="E61" s="175"/>
      <c r="F61" s="256"/>
      <c r="G61" s="105"/>
      <c r="H61" s="147"/>
      <c r="I61" s="147"/>
      <c r="J61" s="147"/>
      <c r="K61" s="151"/>
      <c r="L61" s="106"/>
      <c r="M61" s="83"/>
      <c r="N61" s="104"/>
      <c r="O61" s="91"/>
      <c r="P61" s="900" t="s">
        <v>767</v>
      </c>
      <c r="Q61" s="901"/>
      <c r="R61" s="902"/>
      <c r="S61" s="906"/>
      <c r="T61" s="84"/>
      <c r="U61" s="105"/>
      <c r="V61" s="104"/>
      <c r="W61" s="939" t="s">
        <v>736</v>
      </c>
      <c r="X61" s="940"/>
      <c r="Y61" s="941"/>
      <c r="Z61" s="595" t="s">
        <v>342</v>
      </c>
      <c r="AA61" s="106"/>
      <c r="AB61" s="106"/>
      <c r="AC61" s="83"/>
      <c r="AD61" s="83"/>
      <c r="AF61" s="83"/>
      <c r="AM61" s="83"/>
      <c r="AN61" s="83"/>
      <c r="AO61" s="83"/>
      <c r="AP61" s="83"/>
    </row>
    <row r="62" spans="1:42" ht="22.2" customHeight="1" x14ac:dyDescent="0.3">
      <c r="A62" s="83"/>
      <c r="B62" s="91"/>
      <c r="C62" s="149"/>
      <c r="D62" s="256"/>
      <c r="E62" s="175"/>
      <c r="F62" s="256"/>
      <c r="G62" s="105"/>
      <c r="H62" s="147"/>
      <c r="I62" s="147"/>
      <c r="J62" s="147"/>
      <c r="K62" s="151"/>
      <c r="L62" s="106"/>
      <c r="M62" s="83"/>
      <c r="N62" s="104"/>
      <c r="O62" s="91"/>
      <c r="P62" s="903"/>
      <c r="Q62" s="904"/>
      <c r="R62" s="905"/>
      <c r="S62" s="907"/>
      <c r="T62" s="84"/>
      <c r="U62" s="105"/>
      <c r="V62" s="104"/>
      <c r="W62" s="943" t="str">
        <f>+W58</f>
        <v>ADD</v>
      </c>
      <c r="X62" s="935"/>
      <c r="Y62" s="945" t="str">
        <f>+Y58</f>
        <v>REMOVE</v>
      </c>
      <c r="Z62" s="947">
        <v>1</v>
      </c>
      <c r="AA62" s="106"/>
      <c r="AB62" s="106"/>
      <c r="AC62" s="83"/>
      <c r="AD62" s="83"/>
      <c r="AM62" s="83"/>
      <c r="AN62" s="83"/>
      <c r="AO62" s="83"/>
      <c r="AP62" s="83"/>
    </row>
    <row r="63" spans="1:42" ht="22.2" customHeight="1" x14ac:dyDescent="0.35">
      <c r="A63" s="83"/>
      <c r="B63" s="91"/>
      <c r="C63" s="149"/>
      <c r="D63" s="464"/>
      <c r="E63" s="175"/>
      <c r="F63" s="256"/>
      <c r="G63" s="701"/>
      <c r="H63" s="701"/>
      <c r="I63" s="701"/>
      <c r="J63" s="701"/>
      <c r="K63" s="151"/>
      <c r="L63" s="106"/>
      <c r="M63" s="83"/>
      <c r="N63" s="104"/>
      <c r="O63" s="91"/>
      <c r="P63" s="653"/>
      <c r="Q63" s="653"/>
      <c r="R63" s="653"/>
      <c r="T63" s="84"/>
      <c r="U63" s="105"/>
      <c r="V63" s="104"/>
      <c r="W63" s="944"/>
      <c r="X63" s="936"/>
      <c r="Y63" s="946"/>
      <c r="Z63" s="948"/>
      <c r="AA63" s="106"/>
      <c r="AB63" s="106"/>
      <c r="AC63" s="83"/>
      <c r="AD63" s="83"/>
      <c r="AM63" s="83"/>
      <c r="AN63" s="83"/>
      <c r="AO63" s="83"/>
      <c r="AP63" s="83"/>
    </row>
    <row r="64" spans="1:42" ht="22.2" customHeight="1" x14ac:dyDescent="0.3">
      <c r="A64" s="83"/>
      <c r="B64" s="91"/>
      <c r="C64" s="149"/>
      <c r="D64" s="701"/>
      <c r="E64" s="701"/>
      <c r="F64" s="474"/>
      <c r="G64" s="701"/>
      <c r="H64" s="701"/>
      <c r="I64" s="701"/>
      <c r="J64" s="701"/>
      <c r="K64" s="151"/>
      <c r="L64" s="106"/>
      <c r="M64" s="83"/>
      <c r="N64" s="104"/>
      <c r="O64" s="91"/>
      <c r="P64" s="909" t="s">
        <v>768</v>
      </c>
      <c r="Q64" s="909"/>
      <c r="R64" s="909"/>
      <c r="S64" s="906"/>
      <c r="T64" s="84"/>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01"/>
      <c r="H65" s="701"/>
      <c r="I65" s="701"/>
      <c r="J65" s="701"/>
      <c r="K65" s="151"/>
      <c r="L65" s="106"/>
      <c r="M65" s="83"/>
      <c r="N65" s="104"/>
      <c r="O65" s="91"/>
      <c r="P65" s="909"/>
      <c r="Q65" s="909"/>
      <c r="R65" s="909"/>
      <c r="S65" s="907"/>
      <c r="T65" s="84"/>
      <c r="U65" s="105"/>
      <c r="V65" s="104"/>
      <c r="W65" s="939" t="s">
        <v>735</v>
      </c>
      <c r="X65" s="940"/>
      <c r="Y65" s="941"/>
      <c r="Z65" s="595" t="s">
        <v>342</v>
      </c>
      <c r="AA65" s="106"/>
      <c r="AB65" s="106"/>
      <c r="AC65" s="83"/>
      <c r="AD65" s="83"/>
      <c r="AM65" s="83"/>
      <c r="AN65" s="83"/>
      <c r="AO65" s="83"/>
      <c r="AP65" s="83"/>
    </row>
    <row r="66" spans="1:42" ht="22.2" customHeight="1" x14ac:dyDescent="0.35">
      <c r="A66" s="83"/>
      <c r="B66" s="91"/>
      <c r="C66" s="149"/>
      <c r="D66" s="464"/>
      <c r="E66" s="199"/>
      <c r="F66" s="464"/>
      <c r="G66" s="701"/>
      <c r="H66" s="701"/>
      <c r="I66" s="701"/>
      <c r="J66" s="701"/>
      <c r="K66" s="151"/>
      <c r="L66" s="106"/>
      <c r="M66" s="83"/>
      <c r="N66" s="104"/>
      <c r="O66" s="91"/>
      <c r="P66" s="780"/>
      <c r="Q66" s="780"/>
      <c r="R66" s="653"/>
      <c r="T66" s="84"/>
      <c r="U66" s="105"/>
      <c r="V66" s="104"/>
      <c r="W66" s="943" t="str">
        <f>+W62</f>
        <v>ADD</v>
      </c>
      <c r="X66" s="935"/>
      <c r="Y66" s="945" t="str">
        <f>+Y62</f>
        <v>REMOVE</v>
      </c>
      <c r="Z66" s="947">
        <v>1</v>
      </c>
      <c r="AA66" s="106"/>
      <c r="AB66" s="106"/>
      <c r="AC66" s="83"/>
      <c r="AD66" s="83"/>
      <c r="AM66" s="83"/>
      <c r="AN66" s="83"/>
      <c r="AO66" s="83"/>
      <c r="AP66" s="83"/>
    </row>
    <row r="67" spans="1:42" ht="22.2" customHeight="1" x14ac:dyDescent="0.3">
      <c r="A67" s="83"/>
      <c r="B67" s="91"/>
      <c r="C67" s="149"/>
      <c r="D67" s="464"/>
      <c r="E67" s="199"/>
      <c r="F67" s="464"/>
      <c r="G67" s="701"/>
      <c r="H67" s="92"/>
      <c r="I67" s="92"/>
      <c r="J67" s="92"/>
      <c r="K67" s="151"/>
      <c r="L67" s="106"/>
      <c r="M67" s="83"/>
      <c r="N67" s="104"/>
      <c r="O67" s="781"/>
      <c r="P67" s="900" t="s">
        <v>769</v>
      </c>
      <c r="Q67" s="901"/>
      <c r="R67" s="902"/>
      <c r="S67" s="906"/>
      <c r="T67" s="84"/>
      <c r="U67" s="105"/>
      <c r="V67" s="104"/>
      <c r="W67" s="944"/>
      <c r="X67" s="936"/>
      <c r="Y67" s="946"/>
      <c r="Z67" s="948"/>
      <c r="AA67" s="106"/>
      <c r="AB67" s="106"/>
      <c r="AC67" s="83"/>
      <c r="AD67" s="83"/>
      <c r="AM67" s="83"/>
      <c r="AN67" s="83"/>
      <c r="AO67" s="83"/>
      <c r="AP67" s="83"/>
    </row>
    <row r="68" spans="1:42" ht="22.2" customHeight="1" x14ac:dyDescent="0.3">
      <c r="A68" s="83"/>
      <c r="B68" s="91"/>
      <c r="C68" s="149"/>
      <c r="D68" s="464"/>
      <c r="E68" s="175"/>
      <c r="F68" s="464"/>
      <c r="G68" s="701"/>
      <c r="H68" s="92"/>
      <c r="I68" s="92"/>
      <c r="J68" s="92"/>
      <c r="K68" s="151"/>
      <c r="L68" s="106"/>
      <c r="M68" s="83"/>
      <c r="N68" s="104"/>
      <c r="O68" s="781"/>
      <c r="P68" s="903"/>
      <c r="Q68" s="904"/>
      <c r="R68" s="905"/>
      <c r="S68" s="907"/>
      <c r="T68" s="84"/>
      <c r="U68" s="105"/>
      <c r="V68" s="104"/>
      <c r="AA68" s="106"/>
      <c r="AB68" s="106"/>
      <c r="AC68" s="83"/>
      <c r="AD68" s="83"/>
      <c r="AM68" s="83"/>
      <c r="AN68" s="83"/>
      <c r="AO68" s="83"/>
      <c r="AP68" s="83"/>
    </row>
    <row r="69" spans="1:42" ht="22.2" customHeight="1" x14ac:dyDescent="0.35">
      <c r="A69" s="83"/>
      <c r="B69" s="91"/>
      <c r="C69" s="149"/>
      <c r="D69" s="464"/>
      <c r="E69" s="175"/>
      <c r="F69" s="464"/>
      <c r="G69" s="701"/>
      <c r="H69" s="92"/>
      <c r="I69" s="92"/>
      <c r="J69" s="92"/>
      <c r="K69" s="151"/>
      <c r="L69" s="106"/>
      <c r="M69" s="83"/>
      <c r="N69" s="104"/>
      <c r="O69" s="781"/>
      <c r="P69" s="653"/>
      <c r="Q69" s="653"/>
      <c r="R69" s="653"/>
      <c r="T69" s="84"/>
      <c r="U69" s="105"/>
      <c r="V69" s="104"/>
      <c r="W69" s="938" t="s">
        <v>268</v>
      </c>
      <c r="X69" s="938"/>
      <c r="Y69" s="938"/>
      <c r="Z69" s="938"/>
      <c r="AA69" s="106"/>
      <c r="AB69" s="106"/>
      <c r="AC69" s="83"/>
      <c r="AD69" s="83"/>
      <c r="AM69" s="83"/>
      <c r="AN69" s="83"/>
      <c r="AO69" s="83"/>
      <c r="AP69" s="83"/>
    </row>
    <row r="70" spans="1:42" ht="22.2" customHeight="1" x14ac:dyDescent="0.3">
      <c r="A70" s="83"/>
      <c r="B70" s="91"/>
      <c r="C70" s="149"/>
      <c r="D70" s="701"/>
      <c r="E70" s="701"/>
      <c r="F70" s="701"/>
      <c r="G70" s="701"/>
      <c r="H70" s="539" t="s">
        <v>360</v>
      </c>
      <c r="I70" s="539" t="s">
        <v>667</v>
      </c>
      <c r="J70" s="516" t="s">
        <v>235</v>
      </c>
      <c r="K70" s="151"/>
      <c r="L70" s="106"/>
      <c r="M70" s="83"/>
      <c r="N70" s="104"/>
      <c r="O70" s="91"/>
      <c r="P70" s="900" t="s">
        <v>770</v>
      </c>
      <c r="Q70" s="901"/>
      <c r="R70" s="902"/>
      <c r="S70" s="908"/>
      <c r="T70" s="84"/>
      <c r="U70" s="105"/>
      <c r="V70" s="104"/>
      <c r="W70" s="937" t="s">
        <v>740</v>
      </c>
      <c r="X70" s="937"/>
      <c r="Y70" s="937"/>
      <c r="Z70" s="937"/>
      <c r="AA70" s="106"/>
      <c r="AB70" s="106"/>
      <c r="AC70" s="83"/>
      <c r="AD70" s="83"/>
      <c r="AM70" s="83"/>
      <c r="AN70" s="83"/>
      <c r="AO70" s="83"/>
      <c r="AP70" s="83"/>
    </row>
    <row r="71" spans="1:42" ht="22.2" customHeight="1" x14ac:dyDescent="0.3">
      <c r="A71" s="83"/>
      <c r="B71" s="91"/>
      <c r="C71" s="149"/>
      <c r="D71" s="701"/>
      <c r="E71" s="701"/>
      <c r="F71" s="701"/>
      <c r="G71" s="701"/>
      <c r="H71" s="598" t="s">
        <v>661</v>
      </c>
      <c r="I71" s="527"/>
      <c r="J71" s="527" t="s">
        <v>689</v>
      </c>
      <c r="K71" s="151"/>
      <c r="L71" s="106"/>
      <c r="M71" s="83"/>
      <c r="N71" s="104"/>
      <c r="O71" s="91"/>
      <c r="P71" s="903"/>
      <c r="Q71" s="904"/>
      <c r="R71" s="905"/>
      <c r="S71" s="908"/>
      <c r="T71" s="84"/>
      <c r="U71" s="105"/>
      <c r="V71" s="104"/>
      <c r="W71" s="937"/>
      <c r="X71" s="937"/>
      <c r="Y71" s="937"/>
      <c r="Z71" s="937"/>
      <c r="AA71" s="106"/>
      <c r="AB71" s="106"/>
      <c r="AC71" s="83"/>
      <c r="AD71" s="83"/>
      <c r="AN71" s="83"/>
      <c r="AO71" s="83"/>
      <c r="AP71" s="83"/>
    </row>
    <row r="72" spans="1:42" ht="22.2" customHeight="1" x14ac:dyDescent="0.3">
      <c r="A72" s="83"/>
      <c r="B72" s="91"/>
      <c r="C72" s="149"/>
      <c r="D72" s="701"/>
      <c r="E72" s="701"/>
      <c r="F72" s="701"/>
      <c r="G72" s="701"/>
      <c r="H72" s="598" t="s">
        <v>662</v>
      </c>
      <c r="I72" s="527"/>
      <c r="J72" s="527"/>
      <c r="K72" s="151"/>
      <c r="L72" s="106"/>
      <c r="M72" s="83"/>
      <c r="N72" s="104"/>
      <c r="O72" s="91"/>
      <c r="P72" s="783"/>
      <c r="Q72" s="783"/>
      <c r="T72" s="84"/>
      <c r="U72" s="105"/>
      <c r="V72" s="104"/>
      <c r="W72" s="937"/>
      <c r="X72" s="937"/>
      <c r="Y72" s="937"/>
      <c r="Z72" s="937"/>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391"/>
      <c r="P73" s="784"/>
      <c r="Q73" s="784"/>
      <c r="R73" s="392"/>
      <c r="S73" s="392"/>
      <c r="T73" s="394"/>
      <c r="U73" s="105"/>
      <c r="V73" s="107"/>
      <c r="W73" s="108"/>
      <c r="X73" s="108"/>
      <c r="Y73" s="108"/>
      <c r="Z73" s="108"/>
      <c r="AA73" s="109"/>
      <c r="AB73" s="106"/>
      <c r="AC73" s="83"/>
      <c r="AD73" s="83"/>
      <c r="AO73" s="83"/>
      <c r="AP73" s="83"/>
    </row>
    <row r="74" spans="1:42" ht="18" customHeight="1" x14ac:dyDescent="0.3">
      <c r="A74" s="83"/>
      <c r="B74" s="391"/>
      <c r="C74" s="392"/>
      <c r="D74" s="392"/>
      <c r="E74" s="392"/>
      <c r="F74" s="392"/>
      <c r="G74" s="392"/>
      <c r="H74" s="392"/>
      <c r="I74" s="108"/>
      <c r="J74" s="108"/>
      <c r="K74" s="108"/>
      <c r="L74" s="109"/>
      <c r="M74" s="83"/>
      <c r="N74" s="107"/>
      <c r="O74" s="706"/>
      <c r="P74" s="706"/>
      <c r="Q74" s="706"/>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1"/>
      <c r="P75" s="441"/>
      <c r="Q75" s="441"/>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1"/>
      <c r="Q76" s="441"/>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50">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45:AA45"/>
    <mergeCell ref="O37:T53"/>
    <mergeCell ref="X36:AA36"/>
    <mergeCell ref="X37:AA37"/>
    <mergeCell ref="X38:AA38"/>
    <mergeCell ref="X42:AA42"/>
    <mergeCell ref="X40:AA40"/>
    <mergeCell ref="X41:AA41"/>
    <mergeCell ref="P67:R68"/>
    <mergeCell ref="S67:S68"/>
    <mergeCell ref="P70:R71"/>
    <mergeCell ref="S70:S71"/>
    <mergeCell ref="P58:R59"/>
    <mergeCell ref="S58:S59"/>
    <mergeCell ref="P61:R62"/>
    <mergeCell ref="S61:S62"/>
    <mergeCell ref="P64:R65"/>
    <mergeCell ref="S64:S65"/>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57</xdr:row>
                    <xdr:rowOff>7620</xdr:rowOff>
                  </from>
                  <to>
                    <xdr:col>18</xdr:col>
                    <xdr:colOff>1150620</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60</xdr:row>
                    <xdr:rowOff>7620</xdr:rowOff>
                  </from>
                  <to>
                    <xdr:col>18</xdr:col>
                    <xdr:colOff>1150620</xdr:colOff>
                    <xdr:row>61</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63</xdr:row>
                    <xdr:rowOff>0</xdr:rowOff>
                  </from>
                  <to>
                    <xdr:col>18</xdr:col>
                    <xdr:colOff>1143000</xdr:colOff>
                    <xdr:row>64</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66</xdr:row>
                    <xdr:rowOff>7620</xdr:rowOff>
                  </from>
                  <to>
                    <xdr:col>18</xdr:col>
                    <xdr:colOff>1150620</xdr:colOff>
                    <xdr:row>67</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69</xdr:row>
                    <xdr:rowOff>7620</xdr:rowOff>
                  </from>
                  <to>
                    <xdr:col>18</xdr:col>
                    <xdr:colOff>1143000</xdr:colOff>
                    <xdr:row>70</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929" t="s">
        <v>270</v>
      </c>
      <c r="D3" s="930"/>
      <c r="E3" s="930"/>
      <c r="F3" s="930"/>
      <c r="G3" s="929" t="s">
        <v>229</v>
      </c>
      <c r="H3" s="931"/>
      <c r="I3" s="92"/>
      <c r="J3" s="929" t="s">
        <v>672</v>
      </c>
      <c r="K3" s="930"/>
      <c r="L3" s="930"/>
      <c r="M3" s="931"/>
      <c r="N3" s="210"/>
      <c r="O3" s="929" t="str">
        <f>+E6</f>
        <v>Unit 1</v>
      </c>
      <c r="P3" s="930"/>
      <c r="Q3" s="930"/>
      <c r="R3" s="930"/>
      <c r="S3" s="931"/>
      <c r="T3" s="106"/>
      <c r="U3" s="106"/>
      <c r="V3" s="112"/>
      <c r="W3" s="969" t="str">
        <f>+E6&amp;" Diagram"</f>
        <v>Unit 1 Diagram</v>
      </c>
      <c r="X3" s="970"/>
      <c r="Y3" s="970"/>
      <c r="Z3" s="970"/>
      <c r="AA3" s="970"/>
      <c r="AB3" s="970"/>
      <c r="AC3" s="970"/>
      <c r="AD3" s="970"/>
      <c r="AE3" s="970"/>
      <c r="AF3" s="970"/>
      <c r="AG3" s="970"/>
      <c r="AH3" s="970"/>
      <c r="AI3" s="970"/>
      <c r="AJ3" s="970"/>
      <c r="AK3" s="970"/>
      <c r="AL3" s="970"/>
      <c r="AM3" s="970"/>
      <c r="AN3" s="971"/>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932" t="s">
        <v>265</v>
      </c>
      <c r="E5" s="933"/>
      <c r="F5" s="105"/>
      <c r="G5" s="932" t="s">
        <v>267</v>
      </c>
      <c r="H5" s="933"/>
      <c r="I5" s="92"/>
      <c r="J5" s="976"/>
      <c r="K5" s="977"/>
      <c r="L5" s="214" t="s">
        <v>470</v>
      </c>
      <c r="M5" s="500" t="s">
        <v>504</v>
      </c>
      <c r="N5" s="501"/>
      <c r="O5" s="885" t="s">
        <v>580</v>
      </c>
      <c r="P5" s="886"/>
      <c r="Q5" s="886"/>
      <c r="R5" s="886"/>
      <c r="S5" s="88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954" t="s">
        <v>496</v>
      </c>
      <c r="D6" s="276" t="s">
        <v>687</v>
      </c>
      <c r="E6" s="540" t="str">
        <f>+'Plant Overview'!V37</f>
        <v>Unit 1</v>
      </c>
      <c r="F6" s="105"/>
      <c r="G6" s="85"/>
      <c r="H6" s="390" t="s">
        <v>262</v>
      </c>
      <c r="I6" s="92"/>
      <c r="J6" s="978"/>
      <c r="K6" s="979"/>
      <c r="L6" s="188" t="s">
        <v>471</v>
      </c>
      <c r="M6" s="86" t="s">
        <v>505</v>
      </c>
      <c r="N6" s="501"/>
      <c r="O6" s="623"/>
      <c r="P6" s="501"/>
      <c r="Q6" s="501"/>
      <c r="R6" s="501"/>
      <c r="S6" s="624"/>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955"/>
      <c r="D7" s="276" t="s">
        <v>686</v>
      </c>
      <c r="E7" s="540" t="str">
        <f>+'Plant Overview'!W37</f>
        <v>U-100</v>
      </c>
      <c r="F7" s="105"/>
      <c r="G7" s="96"/>
      <c r="H7" s="390" t="s">
        <v>263</v>
      </c>
      <c r="I7" s="92"/>
      <c r="J7" s="978"/>
      <c r="K7" s="979"/>
      <c r="L7" s="214" t="s">
        <v>465</v>
      </c>
      <c r="M7" s="500" t="s">
        <v>503</v>
      </c>
      <c r="N7" s="501"/>
      <c r="O7" s="623"/>
      <c r="P7" s="501"/>
      <c r="Q7" s="501"/>
      <c r="R7" s="501"/>
      <c r="S7" s="62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935"/>
      <c r="D8" s="959" t="s">
        <v>312</v>
      </c>
      <c r="E8" s="961"/>
      <c r="F8" s="105"/>
      <c r="G8" s="95"/>
      <c r="H8" s="738" t="s">
        <v>264</v>
      </c>
      <c r="I8" s="92"/>
      <c r="J8" s="978"/>
      <c r="K8" s="979"/>
      <c r="L8" s="214" t="s">
        <v>466</v>
      </c>
      <c r="M8" s="500" t="s">
        <v>501</v>
      </c>
      <c r="N8" s="501"/>
      <c r="O8" s="623"/>
      <c r="P8" s="501"/>
      <c r="Q8" s="501"/>
      <c r="R8" s="501"/>
      <c r="S8" s="62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936"/>
      <c r="D9" s="960"/>
      <c r="E9" s="962"/>
      <c r="F9" s="105"/>
      <c r="G9" s="110"/>
      <c r="H9" s="739" t="s">
        <v>268</v>
      </c>
      <c r="I9" s="92"/>
      <c r="J9" s="980"/>
      <c r="K9" s="981"/>
      <c r="L9" s="214" t="s">
        <v>467</v>
      </c>
      <c r="M9" s="500" t="s">
        <v>502</v>
      </c>
      <c r="N9" s="501"/>
      <c r="O9" s="625"/>
      <c r="P9" s="626"/>
      <c r="Q9" s="626"/>
      <c r="R9" s="626"/>
      <c r="S9" s="62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929" t="s">
        <v>572</v>
      </c>
      <c r="E11" s="930"/>
      <c r="F11" s="930"/>
      <c r="G11" s="930"/>
      <c r="H11" s="930"/>
      <c r="I11" s="930"/>
      <c r="J11" s="930"/>
      <c r="K11" s="930"/>
      <c r="L11" s="931"/>
      <c r="M11" s="929" t="s">
        <v>581</v>
      </c>
      <c r="N11" s="930"/>
      <c r="O11" s="930"/>
      <c r="P11" s="930"/>
      <c r="Q11" s="930"/>
      <c r="R11" s="931"/>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476</v>
      </c>
      <c r="H12" s="533" t="s">
        <v>235</v>
      </c>
      <c r="I12" s="747" t="s">
        <v>236</v>
      </c>
      <c r="J12" s="742" t="s">
        <v>341</v>
      </c>
      <c r="K12" s="532" t="s">
        <v>340</v>
      </c>
      <c r="L12" s="532" t="s">
        <v>535</v>
      </c>
      <c r="M12" s="534" t="s">
        <v>230</v>
      </c>
      <c r="N12" s="534" t="s">
        <v>231</v>
      </c>
      <c r="O12" s="534" t="s">
        <v>232</v>
      </c>
      <c r="P12" s="534" t="s">
        <v>225</v>
      </c>
      <c r="Q12" s="534" t="s">
        <v>233</v>
      </c>
      <c r="R12" s="534" t="s">
        <v>266</v>
      </c>
      <c r="S12" s="595"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IF(Tabla278891121136[[#This Row],[Subtype]]="","",VLOOKUP(Tabla278891121136[[#This Row],[Subtype]],'Unit-X00 Equipment'!$E$13:$H$107,4,FALSE))</f>
        <v/>
      </c>
      <c r="I13" s="735"/>
      <c r="J13" s="735"/>
      <c r="K13" s="735"/>
      <c r="L13" s="735"/>
      <c r="M13" s="356"/>
      <c r="N13" s="219"/>
      <c r="O13" s="219"/>
      <c r="P13" s="219"/>
      <c r="Q13" s="219"/>
      <c r="R13" s="502"/>
      <c r="S13" s="223" t="str">
        <f>+IF(Tabla258790120135[[#This Row],[Equipment]]="","",Q13*R13/10^6)</f>
        <v/>
      </c>
      <c r="T13" s="763"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IF(Tabla278891121136[[#This Row],[Subtype]]="","",VLOOKUP(Tabla278891121136[[#This Row],[Subtype]],'Unit-X00 Equipment'!$E$13:$H$107,4,FALSE))</f>
        <v/>
      </c>
      <c r="I14" s="735"/>
      <c r="J14" s="735"/>
      <c r="K14" s="735"/>
      <c r="L14" s="735"/>
      <c r="M14" s="268"/>
      <c r="N14" s="387"/>
      <c r="O14" s="387"/>
      <c r="P14" s="387"/>
      <c r="Q14" s="387"/>
      <c r="R14" s="503"/>
      <c r="S14" s="217" t="str">
        <f>+IF(Tabla258790120135[[#This Row],[Equipment]]="","",Q14*R14/10^6)</f>
        <v/>
      </c>
      <c r="T14" s="763"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IF(Tabla278891121136[[#This Row],[Subtype]]="","",VLOOKUP(Tabla278891121136[[#This Row],[Subtype]],'Unit-X00 Equipment'!$E$13:$H$107,4,FALSE))</f>
        <v/>
      </c>
      <c r="I15" s="735"/>
      <c r="J15" s="735"/>
      <c r="K15" s="735"/>
      <c r="L15" s="735"/>
      <c r="M15" s="170"/>
      <c r="N15" s="735"/>
      <c r="O15" s="387"/>
      <c r="P15" s="166"/>
      <c r="Q15" s="167"/>
      <c r="R15" s="503"/>
      <c r="S15" s="217" t="str">
        <f>+IF(Tabla258790120135[[#This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IF(Tabla278891121136[[#This Row],[Subtype]]="","",VLOOKUP(Tabla278891121136[[#This Row],[Subtype]],'Unit-X00 Equipment'!$E$13:$H$107,4,FALSE))</f>
        <v/>
      </c>
      <c r="I16" s="735"/>
      <c r="J16" s="735"/>
      <c r="K16" s="735"/>
      <c r="L16" s="735"/>
      <c r="M16" s="268"/>
      <c r="N16" s="387"/>
      <c r="O16" s="387"/>
      <c r="P16" s="387"/>
      <c r="Q16" s="387"/>
      <c r="R16" s="503"/>
      <c r="S16" s="217" t="str">
        <f>+IF(Tabla258790120135[[#This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IF(Tabla278891121136[[#This Row],[Subtype]]="","",VLOOKUP(Tabla278891121136[[#This Row],[Subtype]],'Unit-X00 Equipment'!$E$13:$H$107,4,FALSE))</f>
        <v/>
      </c>
      <c r="I17" s="735"/>
      <c r="J17" s="735"/>
      <c r="K17" s="735"/>
      <c r="L17" s="735"/>
      <c r="M17" s="268"/>
      <c r="N17" s="387"/>
      <c r="O17" s="387"/>
      <c r="P17" s="387"/>
      <c r="Q17" s="387"/>
      <c r="R17" s="503"/>
      <c r="S17" s="217" t="str">
        <f>+IF(Tabla258790120135[[#This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IF(Tabla278891121136[[#This Row],[Subtype]]="","",VLOOKUP(Tabla278891121136[[#This Row],[Subtype]],'Unit-X00 Equipment'!$E$13:$H$107,4,FALSE))</f>
        <v/>
      </c>
      <c r="I18" s="735"/>
      <c r="J18" s="735"/>
      <c r="K18" s="735"/>
      <c r="L18" s="387"/>
      <c r="M18" s="268"/>
      <c r="N18" s="387"/>
      <c r="O18" s="387"/>
      <c r="P18" s="387"/>
      <c r="Q18" s="387"/>
      <c r="R18" s="503"/>
      <c r="S18" s="217" t="str">
        <f>+IF(Tabla258790120135[[#This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IF(Tabla278891121136[[#This Row],[Subtype]]="","",VLOOKUP(Tabla278891121136[[#This Row],[Subtype]],'Unit-X00 Equipment'!$E$13:$H$107,4,FALSE))</f>
        <v/>
      </c>
      <c r="I19" s="735"/>
      <c r="J19" s="735"/>
      <c r="K19" s="735"/>
      <c r="L19" s="387"/>
      <c r="M19" s="268"/>
      <c r="N19" s="387"/>
      <c r="O19" s="387"/>
      <c r="P19" s="387"/>
      <c r="Q19" s="387"/>
      <c r="R19" s="503"/>
      <c r="S19" s="217" t="str">
        <f>+IF(Tabla258790120135[[#This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IF(Tabla278891121136[[#This Row],[Subtype]]="","",VLOOKUP(Tabla278891121136[[#This Row],[Subtype]],'Unit-X00 Equipment'!$E$13:$H$107,4,FALSE))</f>
        <v/>
      </c>
      <c r="I20" s="735"/>
      <c r="J20" s="735"/>
      <c r="K20" s="735"/>
      <c r="L20" s="735"/>
      <c r="M20" s="268"/>
      <c r="N20" s="387"/>
      <c r="O20" s="387"/>
      <c r="P20" s="387"/>
      <c r="Q20" s="387"/>
      <c r="R20" s="503"/>
      <c r="S20" s="217" t="str">
        <f>+IF(Tabla258790120135[[#This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IF(Tabla278891121136[[#This Row],[Subtype]]="","",VLOOKUP(Tabla278891121136[[#This Row],[Subtype]],'Unit-X00 Equipment'!$E$13:$H$107,4,FALSE))</f>
        <v/>
      </c>
      <c r="I21" s="735"/>
      <c r="J21" s="735"/>
      <c r="K21" s="735"/>
      <c r="L21" s="735"/>
      <c r="M21" s="268"/>
      <c r="N21" s="387"/>
      <c r="O21" s="387"/>
      <c r="P21" s="387"/>
      <c r="Q21" s="387"/>
      <c r="R21" s="503"/>
      <c r="S21" s="217" t="str">
        <f>+IF(Tabla258790120135[[#This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IF(Tabla278891121136[[#This Row],[Subtype]]="","",VLOOKUP(Tabla278891121136[[#This Row],[Subtype]],'Unit-X00 Equipment'!$E$13:$H$107,4,FALSE))</f>
        <v/>
      </c>
      <c r="I22" s="735"/>
      <c r="J22" s="735"/>
      <c r="K22" s="735"/>
      <c r="L22" s="735"/>
      <c r="M22" s="268"/>
      <c r="N22" s="387"/>
      <c r="O22" s="387"/>
      <c r="P22" s="387"/>
      <c r="Q22" s="387"/>
      <c r="R22" s="503"/>
      <c r="S22" s="217" t="str">
        <f>+IF(Tabla258790120135[[#This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IF(Tabla278891121136[[#This Row],[Subtype]]="","",VLOOKUP(Tabla278891121136[[#This Row],[Subtype]],'Unit-X00 Equipment'!$E$13:$H$107,4,FALSE))</f>
        <v/>
      </c>
      <c r="I23" s="735"/>
      <c r="J23" s="735"/>
      <c r="K23" s="735"/>
      <c r="L23" s="735"/>
      <c r="M23" s="268"/>
      <c r="N23" s="387"/>
      <c r="O23" s="387"/>
      <c r="P23" s="387"/>
      <c r="Q23" s="387"/>
      <c r="R23" s="503"/>
      <c r="S23" s="217" t="str">
        <f>+IF(Tabla258790120135[[#This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IF(Tabla278891121136[[#This Row],[Subtype]]="","",VLOOKUP(Tabla278891121136[[#This Row],[Subtype]],'Unit-X00 Equipment'!$E$13:$H$107,4,FALSE))</f>
        <v/>
      </c>
      <c r="I24" s="735"/>
      <c r="J24" s="735"/>
      <c r="K24" s="735"/>
      <c r="L24" s="735"/>
      <c r="M24" s="268"/>
      <c r="N24" s="387"/>
      <c r="O24" s="387"/>
      <c r="P24" s="387"/>
      <c r="Q24" s="387"/>
      <c r="R24" s="503"/>
      <c r="S24" s="217" t="str">
        <f>+IF(Tabla258790120135[[#This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IF(Tabla278891121136[[#This Row],[Subtype]]="","",VLOOKUP(Tabla278891121136[[#This Row],[Subtype]],'Unit-X00 Equipment'!$E$13:$H$107,4,FALSE))</f>
        <v/>
      </c>
      <c r="I25" s="735"/>
      <c r="J25" s="735"/>
      <c r="K25" s="735"/>
      <c r="L25" s="735"/>
      <c r="M25" s="268"/>
      <c r="N25" s="387"/>
      <c r="O25" s="387"/>
      <c r="P25" s="387"/>
      <c r="Q25" s="387"/>
      <c r="R25" s="503"/>
      <c r="S25" s="217" t="str">
        <f>+IF(Tabla258790120135[[#This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IF(Tabla278891121136[[#This Row],[Subtype]]="","",VLOOKUP(Tabla278891121136[[#This Row],[Subtype]],'Unit-X00 Equipment'!$E$13:$H$107,4,FALSE))</f>
        <v/>
      </c>
      <c r="I26" s="735"/>
      <c r="J26" s="735"/>
      <c r="K26" s="735"/>
      <c r="L26" s="735"/>
      <c r="M26" s="268"/>
      <c r="N26" s="387"/>
      <c r="O26" s="387"/>
      <c r="P26" s="387"/>
      <c r="Q26" s="387"/>
      <c r="R26" s="503"/>
      <c r="S26" s="217" t="str">
        <f>+IF(Tabla258790120135[[#This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IF(Tabla278891121136[[#This Row],[Subtype]]="","",VLOOKUP(Tabla278891121136[[#This Row],[Subtype]],'Unit-X00 Equipment'!$E$13:$H$107,4,FALSE))</f>
        <v/>
      </c>
      <c r="I27" s="735"/>
      <c r="J27" s="735"/>
      <c r="K27" s="735"/>
      <c r="L27" s="735"/>
      <c r="M27" s="268"/>
      <c r="N27" s="387"/>
      <c r="O27" s="387"/>
      <c r="P27" s="387"/>
      <c r="Q27" s="387"/>
      <c r="R27" s="503"/>
      <c r="S27" s="217" t="str">
        <f>+IF(Tabla258790120135[[#This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IF(Tabla278891121136[[#This Row],[Subtype]]="","",VLOOKUP(Tabla278891121136[[#This Row],[Subtype]],'Unit-X00 Equipment'!$E$13:$H$107,4,FALSE))</f>
        <v/>
      </c>
      <c r="I28" s="735"/>
      <c r="J28" s="735"/>
      <c r="K28" s="735"/>
      <c r="L28" s="735"/>
      <c r="M28" s="268"/>
      <c r="N28" s="387"/>
      <c r="O28" s="387"/>
      <c r="P28" s="387"/>
      <c r="Q28" s="387"/>
      <c r="R28" s="503"/>
      <c r="S28" s="217" t="str">
        <f>+IF(Tabla258790120135[[#This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IF(Tabla278891121136[[#This Row],[Subtype]]="","",VLOOKUP(Tabla278891121136[[#This Row],[Subtype]],'Unit-X00 Equipment'!$E$13:$H$107,4,FALSE))</f>
        <v/>
      </c>
      <c r="I29" s="735"/>
      <c r="J29" s="735"/>
      <c r="K29" s="735"/>
      <c r="L29" s="735"/>
      <c r="M29" s="268"/>
      <c r="N29" s="387"/>
      <c r="O29" s="387"/>
      <c r="P29" s="387"/>
      <c r="Q29" s="387"/>
      <c r="R29" s="503"/>
      <c r="S29" s="217" t="str">
        <f>+IF(Tabla258790120135[[#This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IF(Tabla278891121136[[#This Row],[Subtype]]="","",VLOOKUP(Tabla278891121136[[#This Row],[Subtype]],'Unit-X00 Equipment'!$E$13:$H$107,4,FALSE))</f>
        <v/>
      </c>
      <c r="I30" s="735"/>
      <c r="J30" s="735"/>
      <c r="K30" s="735"/>
      <c r="L30" s="735"/>
      <c r="M30" s="268"/>
      <c r="N30" s="387"/>
      <c r="O30" s="387"/>
      <c r="P30" s="387"/>
      <c r="Q30" s="387"/>
      <c r="R30" s="503"/>
      <c r="S30" s="217" t="str">
        <f>+IF(Tabla258790120135[[#This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IF(Tabla278891121136[[#This Row],[Subtype]]="","",VLOOKUP(Tabla278891121136[[#This Row],[Subtype]],'Unit-X00 Equipment'!$E$13:$H$107,4,FALSE))</f>
        <v/>
      </c>
      <c r="I31" s="735"/>
      <c r="J31" s="735"/>
      <c r="K31" s="735"/>
      <c r="L31" s="735"/>
      <c r="M31" s="268"/>
      <c r="N31" s="387"/>
      <c r="O31" s="387"/>
      <c r="P31" s="387"/>
      <c r="Q31" s="387"/>
      <c r="R31" s="503"/>
      <c r="S31" s="217" t="str">
        <f>+IF(Tabla258790120135[[#This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IF(Tabla278891121136[[#This Row],[Subtype]]="","",VLOOKUP(Tabla278891121136[[#This Row],[Subtype]],'Unit-X00 Equipment'!$E$13:$H$107,4,FALSE))</f>
        <v/>
      </c>
      <c r="I32" s="735"/>
      <c r="J32" s="735"/>
      <c r="K32" s="735"/>
      <c r="L32" s="735"/>
      <c r="M32" s="170"/>
      <c r="N32" s="735"/>
      <c r="O32" s="735"/>
      <c r="P32" s="166"/>
      <c r="Q32" s="167"/>
      <c r="R32" s="503"/>
      <c r="S32" s="217" t="str">
        <f>+IF(Tabla258790120135[[#This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IF(Tabla278891121136[[#This Row],[Subtype]]="","",VLOOKUP(Tabla278891121136[[#This Row],[Subtype]],'Unit-X00 Equipment'!$E$13:$H$107,4,FALSE))</f>
        <v/>
      </c>
      <c r="I33" s="735"/>
      <c r="J33" s="735"/>
      <c r="K33" s="735"/>
      <c r="L33" s="735"/>
      <c r="M33" s="170"/>
      <c r="N33" s="735"/>
      <c r="O33" s="735"/>
      <c r="P33" s="387"/>
      <c r="Q33" s="167"/>
      <c r="R33" s="503"/>
      <c r="S33" s="217" t="str">
        <f>+IF(Tabla258790120135[[#This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IF(Tabla278891121136[[#This Row],[Subtype]]="","",VLOOKUP(Tabla278891121136[[#This Row],[Subtype]],'Unit-X00 Equipment'!$E$13:$H$107,4,FALSE))</f>
        <v/>
      </c>
      <c r="I34" s="735"/>
      <c r="J34" s="735"/>
      <c r="K34" s="735"/>
      <c r="L34" s="735"/>
      <c r="M34" s="170"/>
      <c r="N34" s="735"/>
      <c r="O34" s="735"/>
      <c r="P34" s="735"/>
      <c r="Q34" s="167"/>
      <c r="R34" s="503"/>
      <c r="S34" s="217" t="str">
        <f>+IF(Tabla258790120135[[#This Row],[Equipment]]="","",Q34*R34/10^6)</f>
        <v/>
      </c>
      <c r="T34" s="763" t="e">
        <f t="shared" ca="1" si="0"/>
        <v>#VALUE!</v>
      </c>
      <c r="U34" s="105"/>
      <c r="V34" s="116"/>
      <c r="W34" s="926" t="str">
        <f>+E6&amp;" Calculations"</f>
        <v>Unit 1 Calculations</v>
      </c>
      <c r="X34" s="927"/>
      <c r="Y34" s="927"/>
      <c r="Z34" s="927"/>
      <c r="AA34" s="927"/>
      <c r="AB34" s="927"/>
      <c r="AC34" s="927"/>
      <c r="AD34" s="927"/>
      <c r="AE34" s="927"/>
      <c r="AF34" s="927"/>
      <c r="AG34" s="927"/>
      <c r="AH34" s="927"/>
      <c r="AI34" s="927"/>
      <c r="AJ34" s="927"/>
      <c r="AK34" s="927"/>
      <c r="AL34" s="927"/>
      <c r="AM34" s="927"/>
      <c r="AN34" s="928"/>
      <c r="AO34" s="113"/>
      <c r="AP34" s="105"/>
      <c r="AQ34" s="241"/>
      <c r="AR34" s="446"/>
    </row>
    <row r="35" spans="1:44" ht="16.2" customHeight="1" x14ac:dyDescent="0.3">
      <c r="A35" s="83"/>
      <c r="B35" s="104"/>
      <c r="C35" s="435"/>
      <c r="D35" s="233"/>
      <c r="E35" s="267"/>
      <c r="F35" s="387"/>
      <c r="G35" s="387"/>
      <c r="H35" s="508" t="str">
        <f>IF(Tabla278891121136[[#This Row],[Subtype]]="","",VLOOKUP(Tabla278891121136[[#This Row],[Subtype]],'Unit-X00 Equipment'!$E$13:$H$107,4,FALSE))</f>
        <v/>
      </c>
      <c r="I35" s="735"/>
      <c r="J35" s="735"/>
      <c r="K35" s="735"/>
      <c r="L35" s="735"/>
      <c r="M35" s="170"/>
      <c r="N35" s="735"/>
      <c r="O35" s="735"/>
      <c r="P35" s="735"/>
      <c r="Q35" s="167"/>
      <c r="R35" s="503"/>
      <c r="S35" s="217" t="str">
        <f>+IF(Tabla258790120135[[#This Row],[Equipment]]="","",Q35*R35/10^6)</f>
        <v/>
      </c>
      <c r="T35" s="763" t="e">
        <f t="shared" ca="1" si="0"/>
        <v>#VALUE!</v>
      </c>
      <c r="U35" s="105"/>
      <c r="V35" s="493"/>
      <c r="W35" s="809"/>
      <c r="X35" s="809"/>
      <c r="Y35" s="809"/>
      <c r="Z35" s="809"/>
      <c r="AA35" s="809"/>
      <c r="AB35" s="810"/>
      <c r="AC35" s="809"/>
      <c r="AD35" s="809"/>
      <c r="AE35" s="809"/>
      <c r="AF35" s="809"/>
      <c r="AG35" s="809"/>
      <c r="AH35" s="809"/>
      <c r="AI35" s="809"/>
      <c r="AJ35" s="809"/>
      <c r="AK35" s="809"/>
      <c r="AL35" s="809"/>
      <c r="AM35" s="809"/>
      <c r="AN35" s="809"/>
      <c r="AO35" s="113"/>
      <c r="AP35" s="105"/>
      <c r="AQ35" s="241"/>
      <c r="AR35" s="446"/>
    </row>
    <row r="36" spans="1:44" ht="16.2" customHeight="1" x14ac:dyDescent="0.3">
      <c r="A36" s="83"/>
      <c r="B36" s="104"/>
      <c r="C36" s="435"/>
      <c r="D36" s="233"/>
      <c r="E36" s="267"/>
      <c r="F36" s="387"/>
      <c r="G36" s="387"/>
      <c r="H36" s="508" t="str">
        <f>IF(Tabla278891121136[[#This Row],[Subtype]]="","",VLOOKUP(Tabla278891121136[[#This Row],[Subtype]],'Unit-X00 Equipment'!$E$13:$H$107,4,FALSE))</f>
        <v/>
      </c>
      <c r="I36" s="735"/>
      <c r="J36" s="735"/>
      <c r="K36" s="735"/>
      <c r="L36" s="735"/>
      <c r="M36" s="170"/>
      <c r="N36" s="735"/>
      <c r="O36" s="735"/>
      <c r="P36" s="735"/>
      <c r="Q36" s="167"/>
      <c r="R36" s="503"/>
      <c r="S36" s="217" t="str">
        <f>+IF(Tabla258790120135[[#This Row],[Equipment]]="","",Q36*R36/10^6)</f>
        <v/>
      </c>
      <c r="T36" s="763" t="e">
        <f t="shared" ca="1" si="0"/>
        <v>#VALUE!</v>
      </c>
      <c r="U36" s="105"/>
      <c r="V36" s="493"/>
      <c r="W36" s="811"/>
      <c r="X36" s="811"/>
      <c r="Y36" s="811"/>
      <c r="Z36" s="811"/>
      <c r="AA36" s="812"/>
      <c r="AB36" s="811"/>
      <c r="AC36" s="811"/>
      <c r="AD36" s="811"/>
      <c r="AE36" s="811"/>
      <c r="AF36" s="811"/>
      <c r="AG36" s="811"/>
      <c r="AH36" s="811"/>
      <c r="AI36" s="811"/>
      <c r="AJ36" s="811"/>
      <c r="AK36" s="811"/>
      <c r="AL36" s="811"/>
      <c r="AM36" s="811"/>
      <c r="AN36" s="811"/>
      <c r="AO36" s="113"/>
      <c r="AP36" s="105"/>
      <c r="AQ36" s="241"/>
      <c r="AR36" s="446"/>
    </row>
    <row r="37" spans="1:44" ht="16.2" customHeight="1" x14ac:dyDescent="0.3">
      <c r="A37" s="83"/>
      <c r="B37" s="104"/>
      <c r="C37" s="435"/>
      <c r="D37" s="233"/>
      <c r="E37" s="267"/>
      <c r="F37" s="387"/>
      <c r="G37" s="387"/>
      <c r="H37" s="508" t="str">
        <f>IF(Tabla278891121136[[#This Row],[Subtype]]="","",VLOOKUP(Tabla278891121136[[#This Row],[Subtype]],'Unit-X00 Equipment'!$E$13:$H$107,4,FALSE))</f>
        <v/>
      </c>
      <c r="I37" s="735"/>
      <c r="J37" s="735"/>
      <c r="K37" s="735"/>
      <c r="L37" s="735"/>
      <c r="M37" s="170"/>
      <c r="N37" s="735"/>
      <c r="O37" s="735"/>
      <c r="P37" s="735"/>
      <c r="Q37" s="167"/>
      <c r="R37" s="503"/>
      <c r="S37" s="217" t="str">
        <f>+IF(Tabla258790120135[[#This Row],[Equipment]]="","",Q37*R37/10^6)</f>
        <v/>
      </c>
      <c r="T37" s="763" t="e">
        <f t="shared" ca="1" si="0"/>
        <v>#VALUE!</v>
      </c>
      <c r="U37" s="105"/>
      <c r="V37" s="493"/>
      <c r="W37" s="809"/>
      <c r="X37" s="809"/>
      <c r="Y37" s="809"/>
      <c r="Z37" s="809"/>
      <c r="AA37" s="809"/>
      <c r="AB37" s="809"/>
      <c r="AC37" s="809"/>
      <c r="AD37" s="809"/>
      <c r="AE37" s="809"/>
      <c r="AF37" s="809"/>
      <c r="AG37" s="809"/>
      <c r="AH37" s="809"/>
      <c r="AI37" s="809"/>
      <c r="AJ37" s="809"/>
      <c r="AK37" s="809"/>
      <c r="AL37" s="809"/>
      <c r="AM37" s="809"/>
      <c r="AN37" s="809"/>
      <c r="AO37" s="113"/>
      <c r="AP37" s="105"/>
      <c r="AQ37" s="241"/>
      <c r="AR37" s="446"/>
    </row>
    <row r="38" spans="1:44" ht="16.2" customHeight="1" x14ac:dyDescent="0.3">
      <c r="A38" s="83"/>
      <c r="B38" s="104"/>
      <c r="C38" s="435"/>
      <c r="D38" s="233"/>
      <c r="E38" s="267"/>
      <c r="F38" s="387"/>
      <c r="G38" s="387"/>
      <c r="H38" s="508" t="str">
        <f>IF(Tabla278891121136[[#This Row],[Subtype]]="","",VLOOKUP(Tabla278891121136[[#This Row],[Subtype]],'Unit-X00 Equipment'!$E$13:$H$107,4,FALSE))</f>
        <v/>
      </c>
      <c r="I38" s="735"/>
      <c r="J38" s="735"/>
      <c r="K38" s="735"/>
      <c r="L38" s="735"/>
      <c r="M38" s="170"/>
      <c r="N38" s="735"/>
      <c r="O38" s="735"/>
      <c r="P38" s="735"/>
      <c r="Q38" s="167"/>
      <c r="R38" s="503"/>
      <c r="S38" s="217" t="str">
        <f>+IF(Tabla258790120135[[#This Row],[Equipment]]="","",Q38*R38/10^6)</f>
        <v/>
      </c>
      <c r="T38" s="763" t="e">
        <f t="shared" ca="1" si="0"/>
        <v>#VALUE!</v>
      </c>
      <c r="U38" s="105"/>
      <c r="V38" s="493"/>
      <c r="W38" s="809"/>
      <c r="X38" s="809"/>
      <c r="Y38" s="809"/>
      <c r="Z38" s="809"/>
      <c r="AA38" s="809"/>
      <c r="AB38" s="809"/>
      <c r="AC38" s="809"/>
      <c r="AD38" s="809"/>
      <c r="AE38" s="809"/>
      <c r="AF38" s="809"/>
      <c r="AG38" s="809"/>
      <c r="AH38" s="809"/>
      <c r="AI38" s="809"/>
      <c r="AJ38" s="813"/>
      <c r="AK38" s="813"/>
      <c r="AL38" s="813"/>
      <c r="AM38" s="813"/>
      <c r="AN38" s="809"/>
      <c r="AO38" s="84"/>
      <c r="AP38" s="105"/>
      <c r="AQ38" s="241"/>
      <c r="AR38" s="446"/>
    </row>
    <row r="39" spans="1:44" ht="16.2" customHeight="1" x14ac:dyDescent="0.3">
      <c r="A39" s="83"/>
      <c r="B39" s="104"/>
      <c r="C39" s="93"/>
      <c r="D39" s="234"/>
      <c r="E39" s="764"/>
      <c r="F39" s="765"/>
      <c r="G39" s="765"/>
      <c r="H39" s="508" t="str">
        <f>IF(Tabla278891121136[[#This Row],[Subtype]]="","",VLOOKUP(Tabla278891121136[[#This Row],[Subtype]],'Unit-X00 Equipment'!$E$13:$H$107,4,FALSE))</f>
        <v/>
      </c>
      <c r="I39" s="92"/>
      <c r="J39" s="92"/>
      <c r="K39" s="92"/>
      <c r="L39" s="92"/>
      <c r="M39" s="269"/>
      <c r="N39" s="92"/>
      <c r="O39" s="92"/>
      <c r="P39" s="92"/>
      <c r="Q39" s="270"/>
      <c r="R39" s="504"/>
      <c r="S39" s="217" t="str">
        <f>+IF(Tabla258790120135[[#This Row],[Equipment]]="","",Q39*R39/10^6)</f>
        <v/>
      </c>
      <c r="T39" s="763" t="e">
        <f t="shared" ca="1" si="0"/>
        <v>#VALUE!</v>
      </c>
      <c r="U39" s="105"/>
      <c r="V39" s="493"/>
      <c r="W39" s="809"/>
      <c r="X39" s="809"/>
      <c r="Y39" s="809"/>
      <c r="Z39" s="809"/>
      <c r="AA39" s="809"/>
      <c r="AB39" s="809"/>
      <c r="AC39" s="809"/>
      <c r="AD39" s="809"/>
      <c r="AE39" s="809"/>
      <c r="AF39" s="814"/>
      <c r="AG39" s="814"/>
      <c r="AH39" s="814"/>
      <c r="AI39" s="814"/>
      <c r="AJ39" s="814"/>
      <c r="AK39" s="814"/>
      <c r="AL39" s="814"/>
      <c r="AM39" s="814"/>
      <c r="AN39" s="809"/>
      <c r="AO39" s="113"/>
      <c r="AP39" s="105"/>
      <c r="AQ39" s="241"/>
      <c r="AR39" s="446"/>
    </row>
    <row r="40" spans="1:44" ht="16.2" customHeight="1" x14ac:dyDescent="0.3">
      <c r="A40" s="83"/>
      <c r="B40" s="104"/>
      <c r="C40" s="93"/>
      <c r="D40" s="234"/>
      <c r="E40" s="764"/>
      <c r="F40" s="765"/>
      <c r="G40" s="765"/>
      <c r="H40" s="508" t="str">
        <f>IF(Tabla278891121136[[#This Row],[Subtype]]="","",VLOOKUP(Tabla278891121136[[#This Row],[Subtype]],'Unit-X00 Equipment'!$E$13:$H$107,4,FALSE))</f>
        <v/>
      </c>
      <c r="I40" s="92"/>
      <c r="J40" s="92"/>
      <c r="K40" s="92"/>
      <c r="L40" s="92"/>
      <c r="M40" s="269"/>
      <c r="N40" s="92"/>
      <c r="O40" s="92"/>
      <c r="P40" s="92"/>
      <c r="Q40" s="270"/>
      <c r="R40" s="504"/>
      <c r="S40" s="217" t="str">
        <f>+IF(Tabla258790120135[[#This Row],[Equipment]]="","",Q40*R40/10^6)</f>
        <v/>
      </c>
      <c r="T40" s="763" t="e">
        <f t="shared" ca="1" si="0"/>
        <v>#VALUE!</v>
      </c>
      <c r="U40" s="105"/>
      <c r="V40" s="493"/>
      <c r="W40" s="809"/>
      <c r="X40" s="809"/>
      <c r="Y40" s="809"/>
      <c r="Z40" s="809"/>
      <c r="AA40" s="809"/>
      <c r="AB40" s="809"/>
      <c r="AC40" s="809"/>
      <c r="AD40" s="809"/>
      <c r="AE40" s="809"/>
      <c r="AF40" s="809"/>
      <c r="AG40" s="809"/>
      <c r="AH40" s="809"/>
      <c r="AI40" s="809"/>
      <c r="AJ40" s="809"/>
      <c r="AK40" s="809"/>
      <c r="AL40" s="809"/>
      <c r="AM40" s="809"/>
      <c r="AN40" s="809"/>
      <c r="AO40" s="113"/>
      <c r="AP40" s="105"/>
      <c r="AQ40" s="241"/>
      <c r="AR40" s="446"/>
    </row>
    <row r="41" spans="1:44" ht="16.2" customHeight="1" x14ac:dyDescent="0.3">
      <c r="A41" s="83"/>
      <c r="B41" s="104"/>
      <c r="C41" s="255"/>
      <c r="D41" s="233"/>
      <c r="E41" s="267"/>
      <c r="F41" s="387"/>
      <c r="G41" s="387"/>
      <c r="H41" s="508" t="str">
        <f>IF(Tabla278891121136[[#This Row],[Subtype]]="","",VLOOKUP(Tabla278891121136[[#This Row],[Subtype]],'Unit-X00 Equipment'!$E$13:$H$107,4,FALSE))</f>
        <v/>
      </c>
      <c r="I41" s="735"/>
      <c r="J41" s="735"/>
      <c r="K41" s="735"/>
      <c r="L41" s="735"/>
      <c r="M41" s="170"/>
      <c r="N41" s="735"/>
      <c r="O41" s="735"/>
      <c r="P41" s="166"/>
      <c r="Q41" s="167"/>
      <c r="R41" s="503"/>
      <c r="S41" s="217" t="str">
        <f>+IF(Tabla258790120135[[#This Row],[Equipment]]="","",Q41*R41/10^6)</f>
        <v/>
      </c>
      <c r="T41" s="763" t="e">
        <f t="shared" ca="1" si="0"/>
        <v>#VALUE!</v>
      </c>
      <c r="U41" s="105"/>
      <c r="V41" s="493"/>
      <c r="W41" s="809"/>
      <c r="X41" s="809"/>
      <c r="Y41" s="809"/>
      <c r="Z41" s="809"/>
      <c r="AA41" s="809"/>
      <c r="AB41" s="809"/>
      <c r="AC41" s="809"/>
      <c r="AD41" s="809"/>
      <c r="AE41" s="809"/>
      <c r="AF41" s="809"/>
      <c r="AG41" s="809"/>
      <c r="AH41" s="809"/>
      <c r="AI41" s="809"/>
      <c r="AJ41" s="809"/>
      <c r="AK41" s="809"/>
      <c r="AL41" s="809"/>
      <c r="AM41" s="809"/>
      <c r="AN41" s="809"/>
      <c r="AO41" s="113"/>
      <c r="AP41" s="105"/>
      <c r="AQ41" s="241"/>
      <c r="AR41" s="446"/>
    </row>
    <row r="42" spans="1:44" ht="16.2" customHeight="1" x14ac:dyDescent="0.3">
      <c r="A42" s="83"/>
      <c r="B42" s="104"/>
      <c r="C42" s="255"/>
      <c r="D42" s="233"/>
      <c r="E42" s="267"/>
      <c r="F42" s="387"/>
      <c r="G42" s="387"/>
      <c r="H42" s="508" t="str">
        <f>IF(Tabla278891121136[[#This Row],[Subtype]]="","",VLOOKUP(Tabla278891121136[[#This Row],[Subtype]],'Unit-X00 Equipment'!$E$13:$H$107,4,FALSE))</f>
        <v/>
      </c>
      <c r="I42" s="735"/>
      <c r="J42" s="735"/>
      <c r="K42" s="735"/>
      <c r="L42" s="735"/>
      <c r="M42" s="170"/>
      <c r="N42" s="735"/>
      <c r="O42" s="735"/>
      <c r="P42" s="387"/>
      <c r="Q42" s="167"/>
      <c r="R42" s="503"/>
      <c r="S42" s="217" t="str">
        <f>+IF(Tabla258790120135[[#This Row],[Equipment]]="","",Q42*R42/10^6)</f>
        <v/>
      </c>
      <c r="T42" s="763" t="e">
        <f t="shared" ca="1" si="0"/>
        <v>#VALUE!</v>
      </c>
      <c r="U42" s="105"/>
      <c r="V42" s="493"/>
      <c r="W42" s="809"/>
      <c r="X42" s="809"/>
      <c r="Y42" s="809"/>
      <c r="Z42" s="809"/>
      <c r="AA42" s="809"/>
      <c r="AB42" s="809"/>
      <c r="AC42" s="809"/>
      <c r="AD42" s="809"/>
      <c r="AE42" s="809"/>
      <c r="AF42" s="809"/>
      <c r="AG42" s="809"/>
      <c r="AH42" s="809"/>
      <c r="AI42" s="809"/>
      <c r="AJ42" s="809"/>
      <c r="AK42" s="809"/>
      <c r="AL42" s="809"/>
      <c r="AM42" s="809"/>
      <c r="AN42" s="809"/>
      <c r="AO42" s="113"/>
      <c r="AP42" s="105"/>
      <c r="AQ42" s="241"/>
      <c r="AR42" s="446"/>
    </row>
    <row r="43" spans="1:44" ht="16.2" customHeight="1" x14ac:dyDescent="0.3">
      <c r="A43" s="83"/>
      <c r="B43" s="104"/>
      <c r="C43" s="435"/>
      <c r="D43" s="233"/>
      <c r="E43" s="267"/>
      <c r="F43" s="387"/>
      <c r="G43" s="387"/>
      <c r="H43" s="508" t="str">
        <f>IF(Tabla278891121136[[#This Row],[Subtype]]="","",VLOOKUP(Tabla278891121136[[#This Row],[Subtype]],'Unit-X00 Equipment'!$E$13:$H$107,4,FALSE))</f>
        <v/>
      </c>
      <c r="I43" s="735"/>
      <c r="J43" s="735"/>
      <c r="K43" s="735"/>
      <c r="L43" s="735"/>
      <c r="M43" s="330"/>
      <c r="N43" s="737"/>
      <c r="O43" s="737"/>
      <c r="P43" s="737"/>
      <c r="Q43" s="331"/>
      <c r="R43" s="505"/>
      <c r="S43" s="217" t="str">
        <f>+IF(Tabla258790120135[[#This Row],[Equipment]]="","",Q43*R43/10^6)</f>
        <v/>
      </c>
      <c r="T43" s="763" t="e">
        <f t="shared" ca="1" si="0"/>
        <v>#VALUE!</v>
      </c>
      <c r="U43" s="105"/>
      <c r="V43" s="493"/>
      <c r="W43" s="809"/>
      <c r="X43" s="809"/>
      <c r="Y43" s="809"/>
      <c r="Z43" s="809"/>
      <c r="AA43" s="809"/>
      <c r="AB43" s="809"/>
      <c r="AC43" s="809"/>
      <c r="AD43" s="809"/>
      <c r="AE43" s="809"/>
      <c r="AF43" s="809"/>
      <c r="AG43" s="809"/>
      <c r="AH43" s="809"/>
      <c r="AI43" s="809"/>
      <c r="AJ43" s="809"/>
      <c r="AK43" s="809"/>
      <c r="AL43" s="809"/>
      <c r="AM43" s="809"/>
      <c r="AN43" s="809"/>
      <c r="AO43" s="113"/>
      <c r="AP43" s="105"/>
      <c r="AQ43" s="241"/>
      <c r="AR43" s="446"/>
    </row>
    <row r="44" spans="1:44" ht="16.2" customHeight="1" x14ac:dyDescent="0.3">
      <c r="A44" s="83"/>
      <c r="B44" s="104"/>
      <c r="C44" s="436"/>
      <c r="D44" s="930" t="s">
        <v>537</v>
      </c>
      <c r="E44" s="930"/>
      <c r="F44" s="930"/>
      <c r="G44" s="930"/>
      <c r="H44" s="930"/>
      <c r="I44" s="930"/>
      <c r="J44" s="930"/>
      <c r="K44" s="930"/>
      <c r="L44" s="930"/>
      <c r="M44" s="975"/>
      <c r="N44" s="975"/>
      <c r="O44" s="975"/>
      <c r="P44" s="975"/>
      <c r="Q44" s="975"/>
      <c r="R44" s="975"/>
      <c r="S44" s="438"/>
      <c r="T44" s="763"/>
      <c r="U44" s="105"/>
      <c r="V44" s="493"/>
      <c r="W44" s="809"/>
      <c r="X44" s="809"/>
      <c r="Y44" s="809"/>
      <c r="Z44" s="809"/>
      <c r="AA44" s="809"/>
      <c r="AB44" s="809"/>
      <c r="AC44" s="809"/>
      <c r="AD44" s="809"/>
      <c r="AE44" s="809"/>
      <c r="AF44" s="809"/>
      <c r="AG44" s="809"/>
      <c r="AH44" s="809"/>
      <c r="AI44" s="809"/>
      <c r="AJ44" s="809"/>
      <c r="AK44" s="809"/>
      <c r="AL44" s="809"/>
      <c r="AM44" s="809"/>
      <c r="AN44" s="809"/>
      <c r="AO44" s="113"/>
      <c r="AP44" s="105"/>
      <c r="AQ44" s="241"/>
      <c r="AR44" s="446"/>
    </row>
    <row r="45" spans="1:44" ht="16.2" customHeight="1" x14ac:dyDescent="0.3">
      <c r="A45" s="83"/>
      <c r="B45" s="104"/>
      <c r="C45" s="536" t="s">
        <v>582</v>
      </c>
      <c r="D45" s="530" t="s">
        <v>499</v>
      </c>
      <c r="E45" s="530" t="s">
        <v>498</v>
      </c>
      <c r="F45" s="746" t="s">
        <v>464</v>
      </c>
      <c r="G45" s="746" t="s">
        <v>315</v>
      </c>
      <c r="H45" s="746" t="s">
        <v>509</v>
      </c>
      <c r="I45" s="530" t="s">
        <v>506</v>
      </c>
      <c r="J45" s="530" t="s">
        <v>235</v>
      </c>
      <c r="K45" s="530" t="s">
        <v>466</v>
      </c>
      <c r="L45" s="530" t="s">
        <v>467</v>
      </c>
      <c r="M45" s="537" t="s">
        <v>586</v>
      </c>
      <c r="N45" s="538" t="s">
        <v>469</v>
      </c>
      <c r="O45" s="534" t="s">
        <v>468</v>
      </c>
      <c r="P45" s="530" t="s">
        <v>465</v>
      </c>
      <c r="Q45" s="530" t="s">
        <v>471</v>
      </c>
      <c r="R45" s="595" t="s">
        <v>470</v>
      </c>
      <c r="S45" s="595" t="s">
        <v>497</v>
      </c>
      <c r="T45" s="763"/>
      <c r="U45" s="105"/>
      <c r="V45" s="493"/>
      <c r="W45" s="809"/>
      <c r="X45" s="809"/>
      <c r="Y45" s="809"/>
      <c r="Z45" s="809"/>
      <c r="AA45" s="809"/>
      <c r="AB45" s="809"/>
      <c r="AC45" s="809"/>
      <c r="AD45" s="809"/>
      <c r="AE45" s="809"/>
      <c r="AF45" s="809"/>
      <c r="AG45" s="809"/>
      <c r="AH45" s="809"/>
      <c r="AI45" s="809"/>
      <c r="AJ45" s="809"/>
      <c r="AK45" s="809"/>
      <c r="AL45" s="809"/>
      <c r="AM45" s="809"/>
      <c r="AN45" s="809"/>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92" t="str">
        <f ca="1">+S46</f>
        <v/>
      </c>
      <c r="U46" s="105"/>
      <c r="V46" s="493"/>
      <c r="W46" s="809"/>
      <c r="X46" s="809"/>
      <c r="Y46" s="809"/>
      <c r="Z46" s="809"/>
      <c r="AA46" s="809"/>
      <c r="AB46" s="809"/>
      <c r="AC46" s="809"/>
      <c r="AD46" s="809"/>
      <c r="AE46" s="809"/>
      <c r="AF46" s="809"/>
      <c r="AG46" s="809"/>
      <c r="AH46" s="809"/>
      <c r="AI46" s="809"/>
      <c r="AJ46" s="809"/>
      <c r="AK46" s="809"/>
      <c r="AL46" s="809"/>
      <c r="AM46" s="809"/>
      <c r="AN46" s="809"/>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92" t="str">
        <f t="shared" ref="T47:T50" ca="1" si="2">+S47</f>
        <v/>
      </c>
      <c r="U47" s="105"/>
      <c r="V47" s="493"/>
      <c r="W47" s="809"/>
      <c r="X47" s="809"/>
      <c r="Y47" s="809"/>
      <c r="Z47" s="809"/>
      <c r="AA47" s="809"/>
      <c r="AB47" s="809"/>
      <c r="AC47" s="809"/>
      <c r="AD47" s="809"/>
      <c r="AE47" s="809"/>
      <c r="AF47" s="809"/>
      <c r="AG47" s="809"/>
      <c r="AH47" s="809"/>
      <c r="AI47" s="809"/>
      <c r="AJ47" s="809"/>
      <c r="AK47" s="815"/>
      <c r="AL47" s="815"/>
      <c r="AM47" s="815"/>
      <c r="AN47" s="809"/>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92" t="str">
        <f t="shared" ca="1" si="2"/>
        <v/>
      </c>
      <c r="U48" s="105"/>
      <c r="V48" s="120"/>
      <c r="W48" s="809"/>
      <c r="X48" s="809"/>
      <c r="Y48" s="809"/>
      <c r="Z48" s="809"/>
      <c r="AA48" s="809"/>
      <c r="AB48" s="809"/>
      <c r="AC48" s="809"/>
      <c r="AD48" s="809"/>
      <c r="AE48" s="809"/>
      <c r="AF48" s="816"/>
      <c r="AG48" s="817" t="s">
        <v>699</v>
      </c>
      <c r="AH48" s="817" t="s">
        <v>360</v>
      </c>
      <c r="AI48" s="972" t="s">
        <v>580</v>
      </c>
      <c r="AJ48" s="973"/>
      <c r="AK48" s="973"/>
      <c r="AL48" s="973"/>
      <c r="AM48" s="973"/>
      <c r="AN48" s="974"/>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92" t="str">
        <f t="shared" ca="1" si="2"/>
        <v/>
      </c>
      <c r="U49" s="105"/>
      <c r="V49" s="120"/>
      <c r="W49" s="809"/>
      <c r="X49" s="809"/>
      <c r="Y49" s="809"/>
      <c r="Z49" s="809"/>
      <c r="AA49" s="809"/>
      <c r="AB49" s="809"/>
      <c r="AC49" s="809"/>
      <c r="AD49" s="809"/>
      <c r="AE49" s="809"/>
      <c r="AF49" s="816"/>
      <c r="AG49" s="818"/>
      <c r="AH49" s="819"/>
      <c r="AI49" s="820"/>
      <c r="AJ49" s="820"/>
      <c r="AK49" s="820"/>
      <c r="AL49" s="820"/>
      <c r="AM49" s="820"/>
      <c r="AN49" s="821"/>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92" t="str">
        <f t="shared" ca="1" si="2"/>
        <v/>
      </c>
      <c r="U50" s="105"/>
      <c r="V50" s="120"/>
      <c r="W50" s="809"/>
      <c r="X50" s="809"/>
      <c r="Y50" s="809"/>
      <c r="Z50" s="809"/>
      <c r="AA50" s="809"/>
      <c r="AB50" s="809"/>
      <c r="AC50" s="809"/>
      <c r="AD50" s="809"/>
      <c r="AE50" s="809"/>
      <c r="AF50" s="816"/>
      <c r="AG50" s="822"/>
      <c r="AH50" s="823"/>
      <c r="AI50" s="824"/>
      <c r="AJ50" s="824"/>
      <c r="AK50" s="824"/>
      <c r="AL50" s="824"/>
      <c r="AM50" s="824"/>
      <c r="AN50" s="825"/>
      <c r="AO50" s="113"/>
      <c r="AP50" s="105"/>
      <c r="AQ50" s="241"/>
      <c r="AR50" s="446"/>
    </row>
    <row r="51" spans="1:57" ht="16.2" customHeight="1" x14ac:dyDescent="0.3">
      <c r="A51" s="83"/>
      <c r="B51" s="104"/>
      <c r="C51" s="224"/>
      <c r="D51" s="736"/>
      <c r="E51" s="737"/>
      <c r="F51" s="737"/>
      <c r="G51" s="737"/>
      <c r="H51" s="737"/>
      <c r="I51" s="737"/>
      <c r="J51" s="737"/>
      <c r="K51" s="737"/>
      <c r="L51" s="738"/>
      <c r="M51" s="541" t="s">
        <v>585</v>
      </c>
      <c r="N51" s="533" t="s">
        <v>464</v>
      </c>
      <c r="O51" s="743" t="s">
        <v>315</v>
      </c>
      <c r="P51" s="952" t="s">
        <v>477</v>
      </c>
      <c r="Q51" s="953"/>
      <c r="R51" s="595" t="s">
        <v>640</v>
      </c>
      <c r="S51" s="542" t="s">
        <v>639</v>
      </c>
      <c r="T51" s="763"/>
      <c r="U51" s="105"/>
      <c r="V51" s="120"/>
      <c r="W51" s="809"/>
      <c r="X51" s="809"/>
      <c r="Y51" s="809"/>
      <c r="Z51" s="809"/>
      <c r="AA51" s="809"/>
      <c r="AB51" s="809"/>
      <c r="AC51" s="809"/>
      <c r="AD51" s="809"/>
      <c r="AE51" s="809"/>
      <c r="AF51" s="816"/>
      <c r="AG51" s="822"/>
      <c r="AH51" s="823"/>
      <c r="AI51" s="824"/>
      <c r="AJ51" s="824"/>
      <c r="AK51" s="824"/>
      <c r="AL51" s="824"/>
      <c r="AM51" s="824"/>
      <c r="AN51" s="825"/>
      <c r="AO51" s="113"/>
      <c r="AP51" s="105"/>
      <c r="AQ51" s="241"/>
      <c r="AR51" s="446"/>
    </row>
    <row r="52" spans="1:57" ht="16.2" customHeight="1" x14ac:dyDescent="0.3">
      <c r="A52" s="83"/>
      <c r="B52" s="104"/>
      <c r="C52" s="753"/>
      <c r="D52" s="748"/>
      <c r="E52" s="748"/>
      <c r="F52" s="748"/>
      <c r="G52" s="748"/>
      <c r="H52" s="748"/>
      <c r="I52" s="748"/>
      <c r="J52" s="748"/>
      <c r="K52" s="748"/>
      <c r="L52" s="749"/>
      <c r="M52" s="744" t="s">
        <v>489</v>
      </c>
      <c r="N52" s="523" t="s">
        <v>487</v>
      </c>
      <c r="O52" s="745">
        <v>2001</v>
      </c>
      <c r="P52" s="882" t="s">
        <v>478</v>
      </c>
      <c r="Q52" s="884"/>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809"/>
      <c r="X52" s="809"/>
      <c r="Y52" s="809"/>
      <c r="Z52" s="809"/>
      <c r="AA52" s="809"/>
      <c r="AB52" s="809"/>
      <c r="AC52" s="809"/>
      <c r="AD52" s="809"/>
      <c r="AE52" s="809"/>
      <c r="AF52" s="816"/>
      <c r="AG52" s="822"/>
      <c r="AH52" s="823"/>
      <c r="AI52" s="824"/>
      <c r="AJ52" s="824"/>
      <c r="AK52" s="824"/>
      <c r="AL52" s="824"/>
      <c r="AM52" s="824"/>
      <c r="AN52" s="825"/>
      <c r="AO52" s="113"/>
      <c r="AP52" s="105"/>
      <c r="AQ52" s="241"/>
      <c r="AR52" s="446"/>
    </row>
    <row r="53" spans="1:57" ht="16.2" customHeight="1" x14ac:dyDescent="0.3">
      <c r="A53" s="83"/>
      <c r="B53" s="104"/>
      <c r="C53" s="750"/>
      <c r="D53" s="751"/>
      <c r="E53" s="751"/>
      <c r="F53" s="751"/>
      <c r="G53" s="751"/>
      <c r="H53" s="751"/>
      <c r="I53" s="751"/>
      <c r="J53" s="751"/>
      <c r="K53" s="751"/>
      <c r="L53" s="752"/>
      <c r="M53" s="523" t="s">
        <v>641</v>
      </c>
      <c r="N53" s="139"/>
      <c r="O53" s="145"/>
      <c r="P53" s="882"/>
      <c r="Q53" s="884"/>
      <c r="R53" s="543" t="s">
        <v>354</v>
      </c>
      <c r="S53" s="544" t="str">
        <f ca="1">+IF(SUM(S46:S50)&gt;0,SUM(S46:S50),"")</f>
        <v/>
      </c>
      <c r="T53" s="763"/>
      <c r="U53" s="105"/>
      <c r="V53" s="120"/>
      <c r="W53" s="809"/>
      <c r="X53" s="809"/>
      <c r="Y53" s="809"/>
      <c r="Z53" s="809"/>
      <c r="AA53" s="809"/>
      <c r="AB53" s="809"/>
      <c r="AC53" s="809"/>
      <c r="AD53" s="809"/>
      <c r="AE53" s="809"/>
      <c r="AF53" s="816"/>
      <c r="AG53" s="826"/>
      <c r="AH53" s="827"/>
      <c r="AI53" s="828"/>
      <c r="AJ53" s="828"/>
      <c r="AK53" s="828"/>
      <c r="AL53" s="828"/>
      <c r="AM53" s="828"/>
      <c r="AN53" s="829"/>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929" t="str">
        <f>+"BEC Distribution: "&amp;E6</f>
        <v>BEC Distribution: Unit 1</v>
      </c>
      <c r="C56" s="930"/>
      <c r="D56" s="930"/>
      <c r="E56" s="930"/>
      <c r="F56" s="930"/>
      <c r="G56" s="931"/>
      <c r="H56" s="929" t="str">
        <f>"Estimate Benchmark: "&amp;E6</f>
        <v>Estimate Benchmark: Unit 1</v>
      </c>
      <c r="I56" s="930"/>
      <c r="J56" s="930"/>
      <c r="K56" s="930"/>
      <c r="L56" s="930"/>
      <c r="M56" s="930"/>
      <c r="N56" s="931"/>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963" t="s">
        <v>762</v>
      </c>
      <c r="C80" s="964"/>
      <c r="D80" s="964"/>
      <c r="E80" s="964"/>
      <c r="F80" s="964"/>
      <c r="G80" s="965"/>
      <c r="H80" s="127" t="s">
        <v>699</v>
      </c>
      <c r="I80" s="128" t="s">
        <v>360</v>
      </c>
      <c r="J80" s="956" t="s">
        <v>580</v>
      </c>
      <c r="K80" s="957"/>
      <c r="L80" s="957"/>
      <c r="M80" s="957"/>
      <c r="N80" s="958"/>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966"/>
      <c r="C81" s="967"/>
      <c r="D81" s="967"/>
      <c r="E81" s="967"/>
      <c r="F81" s="967"/>
      <c r="G81" s="968"/>
      <c r="H81" s="628"/>
      <c r="I81" s="629"/>
      <c r="J81" s="949"/>
      <c r="K81" s="950"/>
      <c r="L81" s="950"/>
      <c r="M81" s="950"/>
      <c r="N81" s="951"/>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929" t="s">
        <v>270</v>
      </c>
      <c r="D3" s="930"/>
      <c r="E3" s="930"/>
      <c r="F3" s="930"/>
      <c r="G3" s="929" t="s">
        <v>229</v>
      </c>
      <c r="H3" s="931"/>
      <c r="I3" s="92"/>
      <c r="J3" s="929" t="s">
        <v>672</v>
      </c>
      <c r="K3" s="930"/>
      <c r="L3" s="930"/>
      <c r="M3" s="931"/>
      <c r="N3" s="210"/>
      <c r="O3" s="929" t="str">
        <f>+E6</f>
        <v>Unit 2</v>
      </c>
      <c r="P3" s="930"/>
      <c r="Q3" s="930"/>
      <c r="R3" s="930"/>
      <c r="S3" s="931"/>
      <c r="T3" s="106"/>
      <c r="U3" s="106"/>
      <c r="V3" s="112"/>
      <c r="W3" s="969" t="str">
        <f>+E6&amp;" Diagram"</f>
        <v>Unit 2 Diagram</v>
      </c>
      <c r="X3" s="970"/>
      <c r="Y3" s="970"/>
      <c r="Z3" s="970"/>
      <c r="AA3" s="970"/>
      <c r="AB3" s="970"/>
      <c r="AC3" s="970"/>
      <c r="AD3" s="970"/>
      <c r="AE3" s="970"/>
      <c r="AF3" s="970"/>
      <c r="AG3" s="970"/>
      <c r="AH3" s="970"/>
      <c r="AI3" s="970"/>
      <c r="AJ3" s="970"/>
      <c r="AK3" s="970"/>
      <c r="AL3" s="970"/>
      <c r="AM3" s="970"/>
      <c r="AN3" s="971"/>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932" t="s">
        <v>265</v>
      </c>
      <c r="E5" s="933"/>
      <c r="F5" s="105"/>
      <c r="G5" s="932" t="s">
        <v>267</v>
      </c>
      <c r="H5" s="933"/>
      <c r="I5" s="92"/>
      <c r="J5" s="976"/>
      <c r="K5" s="977"/>
      <c r="L5" s="214" t="s">
        <v>470</v>
      </c>
      <c r="M5" s="500" t="s">
        <v>504</v>
      </c>
      <c r="N5" s="501"/>
      <c r="O5" s="885" t="s">
        <v>580</v>
      </c>
      <c r="P5" s="886"/>
      <c r="Q5" s="886"/>
      <c r="R5" s="886"/>
      <c r="S5" s="88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954" t="s">
        <v>496</v>
      </c>
      <c r="D6" s="276" t="s">
        <v>687</v>
      </c>
      <c r="E6" s="540" t="str">
        <f>+'Plant Overview'!V38</f>
        <v>Unit 2</v>
      </c>
      <c r="F6" s="105"/>
      <c r="G6" s="85"/>
      <c r="H6" s="390" t="s">
        <v>262</v>
      </c>
      <c r="I6" s="92"/>
      <c r="J6" s="978"/>
      <c r="K6" s="979"/>
      <c r="L6" s="188" t="s">
        <v>471</v>
      </c>
      <c r="M6" s="86" t="s">
        <v>505</v>
      </c>
      <c r="N6" s="501"/>
      <c r="O6" s="912"/>
      <c r="P6" s="913"/>
      <c r="Q6" s="913"/>
      <c r="R6" s="913"/>
      <c r="S6" s="914"/>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955"/>
      <c r="D7" s="276" t="s">
        <v>686</v>
      </c>
      <c r="E7" s="540" t="str">
        <f>+'Plant Overview'!W38</f>
        <v>U-200</v>
      </c>
      <c r="F7" s="105"/>
      <c r="G7" s="96"/>
      <c r="H7" s="390" t="s">
        <v>263</v>
      </c>
      <c r="I7" s="92"/>
      <c r="J7" s="978"/>
      <c r="K7" s="979"/>
      <c r="L7" s="214" t="s">
        <v>465</v>
      </c>
      <c r="M7" s="500" t="s">
        <v>503</v>
      </c>
      <c r="N7" s="501"/>
      <c r="O7" s="915"/>
      <c r="P7" s="916"/>
      <c r="Q7" s="916"/>
      <c r="R7" s="916"/>
      <c r="S7" s="917"/>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935"/>
      <c r="D8" s="959" t="s">
        <v>312</v>
      </c>
      <c r="E8" s="961"/>
      <c r="F8" s="105"/>
      <c r="G8" s="95"/>
      <c r="H8" s="738" t="s">
        <v>264</v>
      </c>
      <c r="I8" s="92"/>
      <c r="J8" s="978"/>
      <c r="K8" s="979"/>
      <c r="L8" s="214" t="s">
        <v>466</v>
      </c>
      <c r="M8" s="500" t="s">
        <v>501</v>
      </c>
      <c r="N8" s="501"/>
      <c r="O8" s="915"/>
      <c r="P8" s="916"/>
      <c r="Q8" s="916"/>
      <c r="R8" s="916"/>
      <c r="S8" s="917"/>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936"/>
      <c r="D9" s="960"/>
      <c r="E9" s="962"/>
      <c r="F9" s="105"/>
      <c r="G9" s="110"/>
      <c r="H9" s="739" t="s">
        <v>268</v>
      </c>
      <c r="I9" s="92"/>
      <c r="J9" s="980"/>
      <c r="K9" s="981"/>
      <c r="L9" s="214" t="s">
        <v>467</v>
      </c>
      <c r="M9" s="500" t="s">
        <v>502</v>
      </c>
      <c r="N9" s="501"/>
      <c r="O9" s="918"/>
      <c r="P9" s="919"/>
      <c r="Q9" s="919"/>
      <c r="R9" s="919"/>
      <c r="S9" s="920"/>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929" t="s">
        <v>572</v>
      </c>
      <c r="E11" s="930"/>
      <c r="F11" s="930"/>
      <c r="G11" s="930"/>
      <c r="H11" s="930"/>
      <c r="I11" s="930"/>
      <c r="J11" s="930"/>
      <c r="K11" s="930"/>
      <c r="L11" s="931"/>
      <c r="M11" s="929" t="s">
        <v>581</v>
      </c>
      <c r="N11" s="930"/>
      <c r="O11" s="930"/>
      <c r="P11" s="930"/>
      <c r="Q11" s="930"/>
      <c r="R11" s="931"/>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476</v>
      </c>
      <c r="H12" s="533" t="s">
        <v>235</v>
      </c>
      <c r="I12" s="747" t="s">
        <v>236</v>
      </c>
      <c r="J12" s="742" t="s">
        <v>341</v>
      </c>
      <c r="K12" s="532" t="s">
        <v>340</v>
      </c>
      <c r="L12" s="532" t="s">
        <v>535</v>
      </c>
      <c r="M12" s="534" t="s">
        <v>230</v>
      </c>
      <c r="N12" s="534" t="s">
        <v>231</v>
      </c>
      <c r="O12" s="534" t="s">
        <v>232</v>
      </c>
      <c r="P12" s="534" t="s">
        <v>225</v>
      </c>
      <c r="Q12" s="534" t="s">
        <v>233</v>
      </c>
      <c r="R12" s="534" t="s">
        <v>266</v>
      </c>
      <c r="S12" s="595"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IF(Tabla27889112113631[[#This Row],[Subtype]]="","",VLOOKUP(Tabla27889112113631[[#This Row],[Subtype]],'Unit-X00 Equipment'!$E$13:$H$107,4,FALSE))</f>
        <v/>
      </c>
      <c r="I13" s="735"/>
      <c r="J13" s="735"/>
      <c r="K13" s="735"/>
      <c r="L13" s="735"/>
      <c r="M13" s="356"/>
      <c r="N13" s="219"/>
      <c r="O13" s="219"/>
      <c r="P13" s="219"/>
      <c r="Q13" s="219"/>
      <c r="R13" s="502"/>
      <c r="S13" s="223" t="str">
        <f>+IF(Tabla25879012013530[[#This Row],[Equipment]]="","",Q13*R13/10^6)</f>
        <v/>
      </c>
      <c r="T13" s="763"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IF(Tabla27889112113631[[#This Row],[Subtype]]="","",VLOOKUP(Tabla27889112113631[[#This Row],[Subtype]],'Unit-X00 Equipment'!$E$13:$H$107,4,FALSE))</f>
        <v/>
      </c>
      <c r="I14" s="735"/>
      <c r="J14" s="735"/>
      <c r="K14" s="735"/>
      <c r="L14" s="735"/>
      <c r="M14" s="268"/>
      <c r="N14" s="387"/>
      <c r="O14" s="387"/>
      <c r="P14" s="387"/>
      <c r="Q14" s="387"/>
      <c r="R14" s="503"/>
      <c r="S14" s="217" t="str">
        <f>+IF(Tabla25879012013530[[#This Row],[Equipment]]="","",Q14*R14/10^6)</f>
        <v/>
      </c>
      <c r="T14" s="763"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IF(Tabla27889112113631[[#This Row],[Subtype]]="","",VLOOKUP(Tabla27889112113631[[#This Row],[Subtype]],'Unit-X00 Equipment'!$E$13:$H$107,4,FALSE))</f>
        <v/>
      </c>
      <c r="I15" s="735"/>
      <c r="J15" s="735"/>
      <c r="K15" s="735"/>
      <c r="L15" s="735"/>
      <c r="M15" s="170"/>
      <c r="N15" s="735"/>
      <c r="O15" s="387"/>
      <c r="P15" s="166"/>
      <c r="Q15" s="167"/>
      <c r="R15" s="503"/>
      <c r="S15" s="217" t="str">
        <f>+IF(Tabla25879012013530[[#This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IF(Tabla27889112113631[[#This Row],[Subtype]]="","",VLOOKUP(Tabla27889112113631[[#This Row],[Subtype]],'Unit-X00 Equipment'!$E$13:$H$107,4,FALSE))</f>
        <v/>
      </c>
      <c r="I16" s="735"/>
      <c r="J16" s="735"/>
      <c r="K16" s="735"/>
      <c r="L16" s="735"/>
      <c r="M16" s="268"/>
      <c r="N16" s="387"/>
      <c r="O16" s="387"/>
      <c r="P16" s="387"/>
      <c r="Q16" s="387"/>
      <c r="R16" s="503"/>
      <c r="S16" s="217" t="str">
        <f>+IF(Tabla25879012013530[[#This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IF(Tabla27889112113631[[#This Row],[Subtype]]="","",VLOOKUP(Tabla27889112113631[[#This Row],[Subtype]],'Unit-X00 Equipment'!$E$13:$H$107,4,FALSE))</f>
        <v/>
      </c>
      <c r="I17" s="735"/>
      <c r="J17" s="735"/>
      <c r="K17" s="735"/>
      <c r="L17" s="735"/>
      <c r="M17" s="268"/>
      <c r="N17" s="387"/>
      <c r="O17" s="387"/>
      <c r="P17" s="387"/>
      <c r="Q17" s="387"/>
      <c r="R17" s="503"/>
      <c r="S17" s="217" t="str">
        <f>+IF(Tabla25879012013530[[#This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IF(Tabla27889112113631[[#This Row],[Subtype]]="","",VLOOKUP(Tabla27889112113631[[#This Row],[Subtype]],'Unit-X00 Equipment'!$E$13:$H$107,4,FALSE))</f>
        <v/>
      </c>
      <c r="I18" s="735"/>
      <c r="J18" s="735"/>
      <c r="K18" s="735"/>
      <c r="L18" s="387"/>
      <c r="M18" s="268"/>
      <c r="N18" s="387"/>
      <c r="O18" s="387"/>
      <c r="P18" s="387"/>
      <c r="Q18" s="387"/>
      <c r="R18" s="503"/>
      <c r="S18" s="217" t="str">
        <f>+IF(Tabla25879012013530[[#This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IF(Tabla27889112113631[[#This Row],[Subtype]]="","",VLOOKUP(Tabla27889112113631[[#This Row],[Subtype]],'Unit-X00 Equipment'!$E$13:$H$107,4,FALSE))</f>
        <v/>
      </c>
      <c r="I19" s="735"/>
      <c r="J19" s="735"/>
      <c r="K19" s="735"/>
      <c r="L19" s="387"/>
      <c r="M19" s="268"/>
      <c r="N19" s="387"/>
      <c r="O19" s="387"/>
      <c r="P19" s="387"/>
      <c r="Q19" s="387"/>
      <c r="R19" s="503"/>
      <c r="S19" s="217" t="str">
        <f>+IF(Tabla25879012013530[[#This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IF(Tabla27889112113631[[#This Row],[Subtype]]="","",VLOOKUP(Tabla27889112113631[[#This Row],[Subtype]],'Unit-X00 Equipment'!$E$13:$H$107,4,FALSE))</f>
        <v/>
      </c>
      <c r="I20" s="735"/>
      <c r="J20" s="735"/>
      <c r="K20" s="735"/>
      <c r="L20" s="735"/>
      <c r="M20" s="268"/>
      <c r="N20" s="387"/>
      <c r="O20" s="387"/>
      <c r="P20" s="387"/>
      <c r="Q20" s="387"/>
      <c r="R20" s="503"/>
      <c r="S20" s="217" t="str">
        <f>+IF(Tabla25879012013530[[#This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IF(Tabla27889112113631[[#This Row],[Subtype]]="","",VLOOKUP(Tabla27889112113631[[#This Row],[Subtype]],'Unit-X00 Equipment'!$E$13:$H$107,4,FALSE))</f>
        <v/>
      </c>
      <c r="I21" s="735"/>
      <c r="J21" s="735"/>
      <c r="K21" s="735"/>
      <c r="L21" s="735"/>
      <c r="M21" s="268"/>
      <c r="N21" s="387"/>
      <c r="O21" s="387"/>
      <c r="P21" s="387"/>
      <c r="Q21" s="387"/>
      <c r="R21" s="503"/>
      <c r="S21" s="217" t="str">
        <f>+IF(Tabla25879012013530[[#This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IF(Tabla27889112113631[[#This Row],[Subtype]]="","",VLOOKUP(Tabla27889112113631[[#This Row],[Subtype]],'Unit-X00 Equipment'!$E$13:$H$107,4,FALSE))</f>
        <v/>
      </c>
      <c r="I22" s="735"/>
      <c r="J22" s="735"/>
      <c r="K22" s="735"/>
      <c r="L22" s="735"/>
      <c r="M22" s="268"/>
      <c r="N22" s="387"/>
      <c r="O22" s="387"/>
      <c r="P22" s="387"/>
      <c r="Q22" s="387"/>
      <c r="R22" s="503"/>
      <c r="S22" s="217" t="str">
        <f>+IF(Tabla25879012013530[[#This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IF(Tabla27889112113631[[#This Row],[Subtype]]="","",VLOOKUP(Tabla27889112113631[[#This Row],[Subtype]],'Unit-X00 Equipment'!$E$13:$H$107,4,FALSE))</f>
        <v/>
      </c>
      <c r="I23" s="735"/>
      <c r="J23" s="735"/>
      <c r="K23" s="735"/>
      <c r="L23" s="735"/>
      <c r="M23" s="268"/>
      <c r="N23" s="387"/>
      <c r="O23" s="387"/>
      <c r="P23" s="387"/>
      <c r="Q23" s="387"/>
      <c r="R23" s="503"/>
      <c r="S23" s="217" t="str">
        <f>+IF(Tabla25879012013530[[#This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IF(Tabla27889112113631[[#This Row],[Subtype]]="","",VLOOKUP(Tabla27889112113631[[#This Row],[Subtype]],'Unit-X00 Equipment'!$E$13:$H$107,4,FALSE))</f>
        <v/>
      </c>
      <c r="I24" s="735"/>
      <c r="J24" s="735"/>
      <c r="K24" s="735"/>
      <c r="L24" s="735"/>
      <c r="M24" s="268"/>
      <c r="N24" s="387"/>
      <c r="O24" s="387"/>
      <c r="P24" s="387"/>
      <c r="Q24" s="387"/>
      <c r="R24" s="503"/>
      <c r="S24" s="217" t="str">
        <f>+IF(Tabla25879012013530[[#This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IF(Tabla27889112113631[[#This Row],[Subtype]]="","",VLOOKUP(Tabla27889112113631[[#This Row],[Subtype]],'Unit-X00 Equipment'!$E$13:$H$107,4,FALSE))</f>
        <v/>
      </c>
      <c r="I25" s="735"/>
      <c r="J25" s="735"/>
      <c r="K25" s="735"/>
      <c r="L25" s="735"/>
      <c r="M25" s="268"/>
      <c r="N25" s="387"/>
      <c r="O25" s="387"/>
      <c r="P25" s="387"/>
      <c r="Q25" s="387"/>
      <c r="R25" s="503"/>
      <c r="S25" s="217" t="str">
        <f>+IF(Tabla25879012013530[[#This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IF(Tabla27889112113631[[#This Row],[Subtype]]="","",VLOOKUP(Tabla27889112113631[[#This Row],[Subtype]],'Unit-X00 Equipment'!$E$13:$H$107,4,FALSE))</f>
        <v/>
      </c>
      <c r="I26" s="735"/>
      <c r="J26" s="735"/>
      <c r="K26" s="735"/>
      <c r="L26" s="735"/>
      <c r="M26" s="268"/>
      <c r="N26" s="387"/>
      <c r="O26" s="387"/>
      <c r="P26" s="387"/>
      <c r="Q26" s="387"/>
      <c r="R26" s="503"/>
      <c r="S26" s="217" t="str">
        <f>+IF(Tabla25879012013530[[#This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IF(Tabla27889112113631[[#This Row],[Subtype]]="","",VLOOKUP(Tabla27889112113631[[#This Row],[Subtype]],'Unit-X00 Equipment'!$E$13:$H$107,4,FALSE))</f>
        <v/>
      </c>
      <c r="I27" s="735"/>
      <c r="J27" s="735"/>
      <c r="K27" s="735"/>
      <c r="L27" s="735"/>
      <c r="M27" s="268"/>
      <c r="N27" s="387"/>
      <c r="O27" s="387"/>
      <c r="P27" s="387"/>
      <c r="Q27" s="387"/>
      <c r="R27" s="503"/>
      <c r="S27" s="217" t="str">
        <f>+IF(Tabla25879012013530[[#This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IF(Tabla27889112113631[[#This Row],[Subtype]]="","",VLOOKUP(Tabla27889112113631[[#This Row],[Subtype]],'Unit-X00 Equipment'!$E$13:$H$107,4,FALSE))</f>
        <v/>
      </c>
      <c r="I28" s="735"/>
      <c r="J28" s="735"/>
      <c r="K28" s="735"/>
      <c r="L28" s="735"/>
      <c r="M28" s="268"/>
      <c r="N28" s="387"/>
      <c r="O28" s="387"/>
      <c r="P28" s="387"/>
      <c r="Q28" s="387"/>
      <c r="R28" s="503"/>
      <c r="S28" s="217" t="str">
        <f>+IF(Tabla25879012013530[[#This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IF(Tabla27889112113631[[#This Row],[Subtype]]="","",VLOOKUP(Tabla27889112113631[[#This Row],[Subtype]],'Unit-X00 Equipment'!$E$13:$H$107,4,FALSE))</f>
        <v/>
      </c>
      <c r="I29" s="735"/>
      <c r="J29" s="735"/>
      <c r="K29" s="735"/>
      <c r="L29" s="735"/>
      <c r="M29" s="268"/>
      <c r="N29" s="387"/>
      <c r="O29" s="387"/>
      <c r="P29" s="387"/>
      <c r="Q29" s="387"/>
      <c r="R29" s="503"/>
      <c r="S29" s="217" t="str">
        <f>+IF(Tabla25879012013530[[#This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IF(Tabla27889112113631[[#This Row],[Subtype]]="","",VLOOKUP(Tabla27889112113631[[#This Row],[Subtype]],'Unit-X00 Equipment'!$E$13:$H$107,4,FALSE))</f>
        <v/>
      </c>
      <c r="I30" s="735"/>
      <c r="J30" s="735"/>
      <c r="K30" s="735"/>
      <c r="L30" s="735"/>
      <c r="M30" s="268"/>
      <c r="N30" s="387"/>
      <c r="O30" s="387"/>
      <c r="P30" s="387"/>
      <c r="Q30" s="387"/>
      <c r="R30" s="503"/>
      <c r="S30" s="217" t="str">
        <f>+IF(Tabla25879012013530[[#This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IF(Tabla27889112113631[[#This Row],[Subtype]]="","",VLOOKUP(Tabla27889112113631[[#This Row],[Subtype]],'Unit-X00 Equipment'!$E$13:$H$107,4,FALSE))</f>
        <v/>
      </c>
      <c r="I31" s="735"/>
      <c r="J31" s="735"/>
      <c r="K31" s="735"/>
      <c r="L31" s="735"/>
      <c r="M31" s="268"/>
      <c r="N31" s="387"/>
      <c r="O31" s="387"/>
      <c r="P31" s="387"/>
      <c r="Q31" s="387"/>
      <c r="R31" s="503"/>
      <c r="S31" s="217" t="str">
        <f>+IF(Tabla25879012013530[[#This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IF(Tabla27889112113631[[#This Row],[Subtype]]="","",VLOOKUP(Tabla27889112113631[[#This Row],[Subtype]],'Unit-X00 Equipment'!$E$13:$H$107,4,FALSE))</f>
        <v/>
      </c>
      <c r="I32" s="735"/>
      <c r="J32" s="735"/>
      <c r="K32" s="735"/>
      <c r="L32" s="735"/>
      <c r="M32" s="170"/>
      <c r="N32" s="735"/>
      <c r="O32" s="735"/>
      <c r="P32" s="166"/>
      <c r="Q32" s="167"/>
      <c r="R32" s="503"/>
      <c r="S32" s="217" t="str">
        <f>+IF(Tabla25879012013530[[#This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IF(Tabla27889112113631[[#This Row],[Subtype]]="","",VLOOKUP(Tabla27889112113631[[#This Row],[Subtype]],'Unit-X00 Equipment'!$E$13:$H$107,4,FALSE))</f>
        <v/>
      </c>
      <c r="I33" s="735"/>
      <c r="J33" s="735"/>
      <c r="K33" s="735"/>
      <c r="L33" s="735"/>
      <c r="M33" s="170"/>
      <c r="N33" s="735"/>
      <c r="O33" s="735"/>
      <c r="P33" s="387"/>
      <c r="Q33" s="167"/>
      <c r="R33" s="503"/>
      <c r="S33" s="217" t="str">
        <f>+IF(Tabla25879012013530[[#This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IF(Tabla27889112113631[[#This Row],[Subtype]]="","",VLOOKUP(Tabla27889112113631[[#This Row],[Subtype]],'Unit-X00 Equipment'!$E$13:$H$107,4,FALSE))</f>
        <v/>
      </c>
      <c r="I34" s="735"/>
      <c r="J34" s="735"/>
      <c r="K34" s="735"/>
      <c r="L34" s="735"/>
      <c r="M34" s="170"/>
      <c r="N34" s="735"/>
      <c r="O34" s="735"/>
      <c r="P34" s="735"/>
      <c r="Q34" s="167"/>
      <c r="R34" s="503"/>
      <c r="S34" s="217" t="str">
        <f>+IF(Tabla25879012013530[[#This Row],[Equipment]]="","",Q34*R34/10^6)</f>
        <v/>
      </c>
      <c r="T34" s="763" t="e">
        <f t="shared" ca="1" si="0"/>
        <v>#VALUE!</v>
      </c>
      <c r="U34" s="105"/>
      <c r="V34" s="116"/>
      <c r="W34" s="926" t="str">
        <f>+E6&amp;" Calculations"</f>
        <v>Unit 2 Calculations</v>
      </c>
      <c r="X34" s="927"/>
      <c r="Y34" s="927"/>
      <c r="Z34" s="927"/>
      <c r="AA34" s="927"/>
      <c r="AB34" s="927"/>
      <c r="AC34" s="927"/>
      <c r="AD34" s="927"/>
      <c r="AE34" s="927"/>
      <c r="AF34" s="927"/>
      <c r="AG34" s="927"/>
      <c r="AH34" s="927"/>
      <c r="AI34" s="927"/>
      <c r="AJ34" s="927"/>
      <c r="AK34" s="927"/>
      <c r="AL34" s="927"/>
      <c r="AM34" s="927"/>
      <c r="AN34" s="928"/>
      <c r="AO34" s="113"/>
      <c r="AP34" s="105"/>
      <c r="AQ34" s="241"/>
      <c r="AR34" s="446"/>
    </row>
    <row r="35" spans="1:44" ht="16.2" customHeight="1" x14ac:dyDescent="0.3">
      <c r="A35" s="83"/>
      <c r="B35" s="104"/>
      <c r="C35" s="435"/>
      <c r="D35" s="233"/>
      <c r="E35" s="267"/>
      <c r="F35" s="387"/>
      <c r="G35" s="387"/>
      <c r="H35" s="508" t="str">
        <f>IF(Tabla27889112113631[[#This Row],[Subtype]]="","",VLOOKUP(Tabla27889112113631[[#This Row],[Subtype]],'Unit-X00 Equipment'!$E$13:$H$107,4,FALSE))</f>
        <v/>
      </c>
      <c r="I35" s="735"/>
      <c r="J35" s="735"/>
      <c r="K35" s="735"/>
      <c r="L35" s="735"/>
      <c r="M35" s="170"/>
      <c r="N35" s="735"/>
      <c r="O35" s="735"/>
      <c r="P35" s="735"/>
      <c r="Q35" s="167"/>
      <c r="R35" s="503"/>
      <c r="S35" s="217" t="str">
        <f>+IF(Tabla25879012013530[[#This Row],[Equipment]]="","",Q35*R35/10^6)</f>
        <v/>
      </c>
      <c r="T35" s="763" t="e">
        <f t="shared" ca="1" si="0"/>
        <v>#VALUE!</v>
      </c>
      <c r="U35" s="105"/>
      <c r="V35" s="581"/>
      <c r="W35" s="787"/>
      <c r="X35" s="787"/>
      <c r="Y35" s="787"/>
      <c r="Z35" s="787"/>
      <c r="AA35" s="787"/>
      <c r="AB35" s="266"/>
      <c r="AC35" s="787"/>
      <c r="AD35" s="787"/>
      <c r="AE35" s="787"/>
      <c r="AF35" s="787"/>
      <c r="AG35" s="787"/>
      <c r="AH35" s="787"/>
      <c r="AI35" s="787"/>
      <c r="AJ35" s="787"/>
      <c r="AK35" s="787"/>
      <c r="AL35" s="787"/>
      <c r="AM35" s="787"/>
      <c r="AN35" s="787"/>
      <c r="AO35" s="113"/>
      <c r="AP35" s="105"/>
      <c r="AQ35" s="241"/>
      <c r="AR35" s="446"/>
    </row>
    <row r="36" spans="1:44" ht="16.2" customHeight="1" x14ac:dyDescent="0.3">
      <c r="A36" s="83"/>
      <c r="B36" s="104"/>
      <c r="C36" s="435"/>
      <c r="D36" s="233"/>
      <c r="E36" s="267"/>
      <c r="F36" s="387"/>
      <c r="G36" s="387"/>
      <c r="H36" s="508" t="str">
        <f>IF(Tabla27889112113631[[#This Row],[Subtype]]="","",VLOOKUP(Tabla27889112113631[[#This Row],[Subtype]],'Unit-X00 Equipment'!$E$13:$H$107,4,FALSE))</f>
        <v/>
      </c>
      <c r="I36" s="735"/>
      <c r="J36" s="735"/>
      <c r="K36" s="735"/>
      <c r="L36" s="735"/>
      <c r="M36" s="170"/>
      <c r="N36" s="735"/>
      <c r="O36" s="735"/>
      <c r="P36" s="735"/>
      <c r="Q36" s="167"/>
      <c r="R36" s="503"/>
      <c r="S36" s="217" t="str">
        <f>+IF(Tabla25879012013530[[#This Row],[Equipment]]="","",Q36*R36/10^6)</f>
        <v/>
      </c>
      <c r="T36" s="763" t="e">
        <f t="shared" ca="1" si="0"/>
        <v>#VALUE!</v>
      </c>
      <c r="U36" s="105"/>
      <c r="V36" s="581"/>
      <c r="W36" s="793"/>
      <c r="X36" s="793"/>
      <c r="Y36" s="793"/>
      <c r="Z36" s="793"/>
      <c r="AA36" s="788"/>
      <c r="AB36" s="793"/>
      <c r="AC36" s="793"/>
      <c r="AD36" s="793"/>
      <c r="AE36" s="793"/>
      <c r="AF36" s="793"/>
      <c r="AG36" s="793"/>
      <c r="AH36" s="793"/>
      <c r="AI36" s="793"/>
      <c r="AJ36" s="793"/>
      <c r="AK36" s="793"/>
      <c r="AL36" s="793"/>
      <c r="AM36" s="793"/>
      <c r="AN36" s="793"/>
      <c r="AO36" s="113"/>
      <c r="AP36" s="105"/>
      <c r="AQ36" s="241"/>
      <c r="AR36" s="446"/>
    </row>
    <row r="37" spans="1:44" ht="16.2" customHeight="1" x14ac:dyDescent="0.3">
      <c r="A37" s="83"/>
      <c r="B37" s="104"/>
      <c r="C37" s="435"/>
      <c r="D37" s="233"/>
      <c r="E37" s="267"/>
      <c r="F37" s="387"/>
      <c r="G37" s="387"/>
      <c r="H37" s="508" t="str">
        <f>IF(Tabla27889112113631[[#This Row],[Subtype]]="","",VLOOKUP(Tabla27889112113631[[#This Row],[Subtype]],'Unit-X00 Equipment'!$E$13:$H$107,4,FALSE))</f>
        <v/>
      </c>
      <c r="I37" s="735"/>
      <c r="J37" s="735"/>
      <c r="K37" s="735"/>
      <c r="L37" s="735"/>
      <c r="M37" s="170"/>
      <c r="N37" s="735"/>
      <c r="O37" s="735"/>
      <c r="P37" s="735"/>
      <c r="Q37" s="167"/>
      <c r="R37" s="503"/>
      <c r="S37" s="217" t="str">
        <f>+IF(Tabla25879012013530[[#This Row],[Equipment]]="","",Q37*R37/10^6)</f>
        <v/>
      </c>
      <c r="T37" s="763" t="e">
        <f t="shared" ca="1" si="0"/>
        <v>#VALUE!</v>
      </c>
      <c r="U37" s="105"/>
      <c r="V37" s="581"/>
      <c r="W37" s="787"/>
      <c r="X37" s="787"/>
      <c r="Y37" s="787"/>
      <c r="Z37" s="787"/>
      <c r="AA37" s="787"/>
      <c r="AB37" s="794"/>
      <c r="AC37" s="794"/>
      <c r="AD37" s="794"/>
      <c r="AE37" s="794"/>
      <c r="AF37" s="794"/>
      <c r="AG37" s="794"/>
      <c r="AH37" s="794"/>
      <c r="AI37" s="794"/>
      <c r="AJ37" s="794"/>
      <c r="AK37" s="794"/>
      <c r="AL37" s="794"/>
      <c r="AM37" s="794"/>
      <c r="AN37" s="794"/>
      <c r="AO37" s="113"/>
      <c r="AP37" s="105"/>
      <c r="AQ37" s="241"/>
      <c r="AR37" s="446"/>
    </row>
    <row r="38" spans="1:44" ht="16.2" customHeight="1" x14ac:dyDescent="0.3">
      <c r="A38" s="83"/>
      <c r="B38" s="104"/>
      <c r="C38" s="435"/>
      <c r="D38" s="233"/>
      <c r="E38" s="267"/>
      <c r="F38" s="387"/>
      <c r="G38" s="387"/>
      <c r="H38" s="508" t="str">
        <f>IF(Tabla27889112113631[[#This Row],[Subtype]]="","",VLOOKUP(Tabla27889112113631[[#This Row],[Subtype]],'Unit-X00 Equipment'!$E$13:$H$107,4,FALSE))</f>
        <v/>
      </c>
      <c r="I38" s="735"/>
      <c r="J38" s="735"/>
      <c r="K38" s="735"/>
      <c r="L38" s="735"/>
      <c r="M38" s="170"/>
      <c r="N38" s="735"/>
      <c r="O38" s="735"/>
      <c r="P38" s="735"/>
      <c r="Q38" s="167"/>
      <c r="R38" s="503"/>
      <c r="S38" s="217" t="str">
        <f>+IF(Tabla25879012013530[[#This Row],[Equipment]]="","",Q38*R38/10^6)</f>
        <v/>
      </c>
      <c r="T38" s="763" t="e">
        <f t="shared" ca="1" si="0"/>
        <v>#VALUE!</v>
      </c>
      <c r="U38" s="105"/>
      <c r="V38" s="581"/>
      <c r="W38" s="787"/>
      <c r="X38" s="787"/>
      <c r="Y38" s="787"/>
      <c r="Z38" s="787"/>
      <c r="AA38" s="787"/>
      <c r="AB38" s="787"/>
      <c r="AC38" s="787"/>
      <c r="AD38" s="787"/>
      <c r="AE38" s="787"/>
      <c r="AF38" s="787"/>
      <c r="AG38" s="787"/>
      <c r="AH38" s="787"/>
      <c r="AI38" s="787"/>
      <c r="AJ38" s="795"/>
      <c r="AK38" s="795"/>
      <c r="AL38" s="795"/>
      <c r="AM38" s="795"/>
      <c r="AN38" s="794"/>
      <c r="AO38" s="84"/>
      <c r="AP38" s="105"/>
      <c r="AQ38" s="241"/>
      <c r="AR38" s="446"/>
    </row>
    <row r="39" spans="1:44" ht="16.2" customHeight="1" x14ac:dyDescent="0.3">
      <c r="A39" s="83"/>
      <c r="B39" s="104"/>
      <c r="C39" s="93"/>
      <c r="D39" s="234"/>
      <c r="E39" s="764"/>
      <c r="F39" s="765"/>
      <c r="G39" s="765"/>
      <c r="H39" s="508" t="str">
        <f>IF(Tabla27889112113631[[#This Row],[Subtype]]="","",VLOOKUP(Tabla27889112113631[[#This Row],[Subtype]],'Unit-X00 Equipment'!$E$13:$H$107,4,FALSE))</f>
        <v/>
      </c>
      <c r="I39" s="92"/>
      <c r="J39" s="92"/>
      <c r="K39" s="92"/>
      <c r="L39" s="92"/>
      <c r="M39" s="269"/>
      <c r="N39" s="92"/>
      <c r="O39" s="92"/>
      <c r="P39" s="92"/>
      <c r="Q39" s="270"/>
      <c r="R39" s="504"/>
      <c r="S39" s="217" t="str">
        <f>+IF(Tabla25879012013530[[#This Row],[Equipment]]="","",Q39*R39/10^6)</f>
        <v/>
      </c>
      <c r="T39" s="763" t="e">
        <f t="shared" ca="1" si="0"/>
        <v>#VALUE!</v>
      </c>
      <c r="U39" s="105"/>
      <c r="V39" s="581"/>
      <c r="W39" s="787"/>
      <c r="X39" s="787"/>
      <c r="Y39" s="787"/>
      <c r="Z39" s="787"/>
      <c r="AA39" s="787"/>
      <c r="AB39" s="787"/>
      <c r="AC39" s="787"/>
      <c r="AD39" s="787"/>
      <c r="AE39" s="787"/>
      <c r="AF39" s="789"/>
      <c r="AG39" s="789"/>
      <c r="AH39" s="789"/>
      <c r="AI39" s="789"/>
      <c r="AJ39" s="789"/>
      <c r="AK39" s="789"/>
      <c r="AL39" s="789"/>
      <c r="AM39" s="789"/>
      <c r="AN39" s="787"/>
      <c r="AO39" s="113"/>
      <c r="AP39" s="105"/>
      <c r="AQ39" s="241"/>
      <c r="AR39" s="446"/>
    </row>
    <row r="40" spans="1:44" ht="16.2" customHeight="1" x14ac:dyDescent="0.3">
      <c r="A40" s="83"/>
      <c r="B40" s="104"/>
      <c r="C40" s="93"/>
      <c r="D40" s="234"/>
      <c r="E40" s="764"/>
      <c r="F40" s="765"/>
      <c r="G40" s="765"/>
      <c r="H40" s="508" t="str">
        <f>IF(Tabla27889112113631[[#This Row],[Subtype]]="","",VLOOKUP(Tabla27889112113631[[#This Row],[Subtype]],'Unit-X00 Equipment'!$E$13:$H$107,4,FALSE))</f>
        <v/>
      </c>
      <c r="I40" s="92"/>
      <c r="J40" s="92"/>
      <c r="K40" s="92"/>
      <c r="L40" s="92"/>
      <c r="M40" s="269"/>
      <c r="N40" s="92"/>
      <c r="O40" s="92"/>
      <c r="P40" s="92"/>
      <c r="Q40" s="270"/>
      <c r="R40" s="504"/>
      <c r="S40" s="217" t="str">
        <f>+IF(Tabla25879012013530[[#This Row],[Equipment]]="","",Q40*R40/10^6)</f>
        <v/>
      </c>
      <c r="T40" s="763" t="e">
        <f t="shared" ca="1" si="0"/>
        <v>#VALUE!</v>
      </c>
      <c r="U40" s="105"/>
      <c r="V40" s="581"/>
      <c r="W40" s="787"/>
      <c r="X40" s="787"/>
      <c r="Y40" s="787"/>
      <c r="Z40" s="787"/>
      <c r="AA40" s="787"/>
      <c r="AB40" s="787"/>
      <c r="AC40" s="787"/>
      <c r="AD40" s="787"/>
      <c r="AE40" s="787"/>
      <c r="AF40" s="787"/>
      <c r="AG40" s="787"/>
      <c r="AH40" s="787"/>
      <c r="AI40" s="787"/>
      <c r="AJ40" s="787"/>
      <c r="AK40" s="787"/>
      <c r="AL40" s="787"/>
      <c r="AM40" s="787"/>
      <c r="AN40" s="787"/>
      <c r="AO40" s="113"/>
      <c r="AP40" s="105"/>
      <c r="AQ40" s="241"/>
      <c r="AR40" s="446"/>
    </row>
    <row r="41" spans="1:44" ht="16.2" customHeight="1" x14ac:dyDescent="0.3">
      <c r="A41" s="83"/>
      <c r="B41" s="104"/>
      <c r="C41" s="255"/>
      <c r="D41" s="233"/>
      <c r="E41" s="267"/>
      <c r="F41" s="387"/>
      <c r="G41" s="387"/>
      <c r="H41" s="508" t="str">
        <f>IF(Tabla27889112113631[[#This Row],[Subtype]]="","",VLOOKUP(Tabla27889112113631[[#This Row],[Subtype]],'Unit-X00 Equipment'!$E$13:$H$107,4,FALSE))</f>
        <v/>
      </c>
      <c r="I41" s="735"/>
      <c r="J41" s="735"/>
      <c r="K41" s="735"/>
      <c r="L41" s="735"/>
      <c r="M41" s="170"/>
      <c r="N41" s="735"/>
      <c r="O41" s="735"/>
      <c r="P41" s="166"/>
      <c r="Q41" s="167"/>
      <c r="R41" s="503"/>
      <c r="S41" s="217" t="str">
        <f>+IF(Tabla25879012013530[[#This Row],[Equipment]]="","",Q41*R41/10^6)</f>
        <v/>
      </c>
      <c r="T41" s="763" t="e">
        <f t="shared" ca="1" si="0"/>
        <v>#VALUE!</v>
      </c>
      <c r="U41" s="105"/>
      <c r="V41" s="581"/>
      <c r="W41" s="787"/>
      <c r="X41" s="787"/>
      <c r="Y41" s="787"/>
      <c r="Z41" s="787"/>
      <c r="AA41" s="787"/>
      <c r="AB41" s="787"/>
      <c r="AC41" s="787"/>
      <c r="AD41" s="787"/>
      <c r="AE41" s="787"/>
      <c r="AF41" s="787"/>
      <c r="AG41" s="787"/>
      <c r="AH41" s="787"/>
      <c r="AI41" s="787"/>
      <c r="AJ41" s="787"/>
      <c r="AK41" s="787"/>
      <c r="AL41" s="787"/>
      <c r="AM41" s="787"/>
      <c r="AN41" s="787"/>
      <c r="AO41" s="113"/>
      <c r="AP41" s="105"/>
      <c r="AQ41" s="241"/>
      <c r="AR41" s="446"/>
    </row>
    <row r="42" spans="1:44" ht="16.2" customHeight="1" x14ac:dyDescent="0.3">
      <c r="A42" s="83"/>
      <c r="B42" s="104"/>
      <c r="C42" s="255"/>
      <c r="D42" s="233"/>
      <c r="E42" s="267"/>
      <c r="F42" s="387"/>
      <c r="G42" s="387"/>
      <c r="H42" s="508" t="str">
        <f>IF(Tabla27889112113631[[#This Row],[Subtype]]="","",VLOOKUP(Tabla27889112113631[[#This Row],[Subtype]],'Unit-X00 Equipment'!$E$13:$H$107,4,FALSE))</f>
        <v/>
      </c>
      <c r="I42" s="735"/>
      <c r="J42" s="735"/>
      <c r="K42" s="735"/>
      <c r="L42" s="735"/>
      <c r="M42" s="170"/>
      <c r="N42" s="735"/>
      <c r="O42" s="735"/>
      <c r="P42" s="387"/>
      <c r="Q42" s="167"/>
      <c r="R42" s="503"/>
      <c r="S42" s="217" t="str">
        <f>+IF(Tabla25879012013530[[#This Row],[Equipment]]="","",Q42*R42/10^6)</f>
        <v/>
      </c>
      <c r="T42" s="763" t="e">
        <f t="shared" ca="1" si="0"/>
        <v>#VALUE!</v>
      </c>
      <c r="U42" s="105"/>
      <c r="V42" s="581"/>
      <c r="W42" s="787"/>
      <c r="X42" s="787"/>
      <c r="Y42" s="787"/>
      <c r="Z42" s="787"/>
      <c r="AA42" s="787"/>
      <c r="AB42" s="787"/>
      <c r="AC42" s="787"/>
      <c r="AD42" s="787"/>
      <c r="AE42" s="787"/>
      <c r="AF42" s="787"/>
      <c r="AG42" s="787"/>
      <c r="AH42" s="787"/>
      <c r="AI42" s="787"/>
      <c r="AJ42" s="787"/>
      <c r="AK42" s="787"/>
      <c r="AL42" s="787"/>
      <c r="AM42" s="787"/>
      <c r="AN42" s="787"/>
      <c r="AO42" s="113"/>
      <c r="AP42" s="105"/>
      <c r="AQ42" s="241"/>
      <c r="AR42" s="446"/>
    </row>
    <row r="43" spans="1:44" ht="16.2" customHeight="1" x14ac:dyDescent="0.3">
      <c r="A43" s="83"/>
      <c r="B43" s="104"/>
      <c r="C43" s="435"/>
      <c r="D43" s="233"/>
      <c r="E43" s="267"/>
      <c r="F43" s="387"/>
      <c r="G43" s="387"/>
      <c r="H43" s="508" t="str">
        <f>IF(Tabla27889112113631[[#This Row],[Subtype]]="","",VLOOKUP(Tabla27889112113631[[#This Row],[Subtype]],'Unit-X00 Equipment'!$E$13:$H$107,4,FALSE))</f>
        <v/>
      </c>
      <c r="I43" s="735"/>
      <c r="J43" s="735"/>
      <c r="K43" s="735"/>
      <c r="L43" s="735"/>
      <c r="M43" s="330"/>
      <c r="N43" s="737"/>
      <c r="O43" s="737"/>
      <c r="P43" s="737"/>
      <c r="Q43" s="331"/>
      <c r="R43" s="505"/>
      <c r="S43" s="217" t="str">
        <f>+IF(Tabla25879012013530[[#This Row],[Equipment]]="","",Q43*R43/10^6)</f>
        <v/>
      </c>
      <c r="T43" s="763" t="e">
        <f t="shared" ca="1" si="0"/>
        <v>#VALUE!</v>
      </c>
      <c r="U43" s="105"/>
      <c r="V43" s="581"/>
      <c r="W43" s="787"/>
      <c r="X43" s="787"/>
      <c r="Y43" s="787"/>
      <c r="Z43" s="787"/>
      <c r="AA43" s="787"/>
      <c r="AB43" s="787"/>
      <c r="AC43" s="787"/>
      <c r="AD43" s="787"/>
      <c r="AE43" s="787"/>
      <c r="AF43" s="787"/>
      <c r="AG43" s="787"/>
      <c r="AH43" s="787"/>
      <c r="AI43" s="787"/>
      <c r="AJ43" s="787"/>
      <c r="AK43" s="787"/>
      <c r="AL43" s="787"/>
      <c r="AM43" s="787"/>
      <c r="AN43" s="787"/>
      <c r="AO43" s="113"/>
      <c r="AP43" s="105"/>
      <c r="AQ43" s="241"/>
      <c r="AR43" s="446"/>
    </row>
    <row r="44" spans="1:44" ht="16.2" customHeight="1" x14ac:dyDescent="0.3">
      <c r="A44" s="83"/>
      <c r="B44" s="104"/>
      <c r="C44" s="436"/>
      <c r="D44" s="930" t="s">
        <v>537</v>
      </c>
      <c r="E44" s="930"/>
      <c r="F44" s="930"/>
      <c r="G44" s="930"/>
      <c r="H44" s="930"/>
      <c r="I44" s="930"/>
      <c r="J44" s="930"/>
      <c r="K44" s="930"/>
      <c r="L44" s="930"/>
      <c r="M44" s="975"/>
      <c r="N44" s="975"/>
      <c r="O44" s="975"/>
      <c r="P44" s="975"/>
      <c r="Q44" s="975"/>
      <c r="R44" s="975"/>
      <c r="S44" s="438"/>
      <c r="T44" s="763"/>
      <c r="U44" s="105"/>
      <c r="V44" s="581"/>
      <c r="W44" s="787"/>
      <c r="X44" s="787"/>
      <c r="Y44" s="787"/>
      <c r="Z44" s="787"/>
      <c r="AA44" s="787"/>
      <c r="AB44" s="787"/>
      <c r="AC44" s="787"/>
      <c r="AD44" s="787"/>
      <c r="AE44" s="787"/>
      <c r="AF44" s="787"/>
      <c r="AG44" s="787"/>
      <c r="AH44" s="787"/>
      <c r="AI44" s="787"/>
      <c r="AJ44" s="787"/>
      <c r="AK44" s="787"/>
      <c r="AL44" s="787"/>
      <c r="AM44" s="787"/>
      <c r="AN44" s="787"/>
      <c r="AO44" s="113"/>
      <c r="AP44" s="105"/>
      <c r="AQ44" s="241"/>
      <c r="AR44" s="446"/>
    </row>
    <row r="45" spans="1:44" ht="16.2" customHeight="1" x14ac:dyDescent="0.3">
      <c r="A45" s="83"/>
      <c r="B45" s="104"/>
      <c r="C45" s="536" t="s">
        <v>582</v>
      </c>
      <c r="D45" s="530" t="s">
        <v>499</v>
      </c>
      <c r="E45" s="530" t="s">
        <v>498</v>
      </c>
      <c r="F45" s="746" t="s">
        <v>464</v>
      </c>
      <c r="G45" s="746" t="s">
        <v>315</v>
      </c>
      <c r="H45" s="746" t="s">
        <v>509</v>
      </c>
      <c r="I45" s="530" t="s">
        <v>506</v>
      </c>
      <c r="J45" s="530" t="s">
        <v>235</v>
      </c>
      <c r="K45" s="530" t="s">
        <v>466</v>
      </c>
      <c r="L45" s="530" t="s">
        <v>467</v>
      </c>
      <c r="M45" s="537" t="s">
        <v>586</v>
      </c>
      <c r="N45" s="538" t="s">
        <v>469</v>
      </c>
      <c r="O45" s="534" t="s">
        <v>468</v>
      </c>
      <c r="P45" s="530" t="s">
        <v>465</v>
      </c>
      <c r="Q45" s="530" t="s">
        <v>471</v>
      </c>
      <c r="R45" s="595" t="s">
        <v>470</v>
      </c>
      <c r="S45" s="595" t="s">
        <v>497</v>
      </c>
      <c r="T45" s="763"/>
      <c r="U45" s="105"/>
      <c r="V45" s="581"/>
      <c r="W45" s="787"/>
      <c r="X45" s="787"/>
      <c r="Y45" s="787"/>
      <c r="Z45" s="787"/>
      <c r="AA45" s="787"/>
      <c r="AB45" s="787"/>
      <c r="AC45" s="787"/>
      <c r="AD45" s="787"/>
      <c r="AE45" s="787"/>
      <c r="AF45" s="787"/>
      <c r="AG45" s="787"/>
      <c r="AH45" s="787"/>
      <c r="AI45" s="787"/>
      <c r="AJ45" s="787"/>
      <c r="AK45" s="787"/>
      <c r="AL45" s="787"/>
      <c r="AM45" s="787"/>
      <c r="AN45" s="787"/>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63"/>
      <c r="U46" s="105"/>
      <c r="V46" s="581"/>
      <c r="W46" s="787"/>
      <c r="X46" s="787"/>
      <c r="Y46" s="787"/>
      <c r="Z46" s="787"/>
      <c r="AA46" s="787"/>
      <c r="AB46" s="787"/>
      <c r="AC46" s="787"/>
      <c r="AD46" s="787"/>
      <c r="AE46" s="787"/>
      <c r="AF46" s="787"/>
      <c r="AG46" s="787"/>
      <c r="AH46" s="787"/>
      <c r="AI46" s="787"/>
      <c r="AJ46" s="787"/>
      <c r="AK46" s="787"/>
      <c r="AL46" s="787"/>
      <c r="AM46" s="787"/>
      <c r="AN46" s="787"/>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63"/>
      <c r="U47" s="105"/>
      <c r="V47" s="581"/>
      <c r="W47" s="787"/>
      <c r="X47" s="787"/>
      <c r="Y47" s="787"/>
      <c r="Z47" s="787"/>
      <c r="AA47" s="787"/>
      <c r="AB47" s="787"/>
      <c r="AC47" s="787"/>
      <c r="AD47" s="787"/>
      <c r="AE47" s="787"/>
      <c r="AF47" s="787"/>
      <c r="AG47" s="787"/>
      <c r="AH47" s="787"/>
      <c r="AI47" s="787"/>
      <c r="AJ47" s="787"/>
      <c r="AK47" s="790"/>
      <c r="AL47" s="790"/>
      <c r="AM47" s="790"/>
      <c r="AN47" s="787"/>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63"/>
      <c r="U48" s="105"/>
      <c r="V48" s="120"/>
      <c r="W48" s="787"/>
      <c r="X48" s="787"/>
      <c r="Y48" s="787"/>
      <c r="Z48" s="787"/>
      <c r="AA48" s="787"/>
      <c r="AB48" s="787"/>
      <c r="AC48" s="787"/>
      <c r="AD48" s="787"/>
      <c r="AE48" s="787"/>
      <c r="AF48" s="796"/>
      <c r="AG48" s="791" t="s">
        <v>699</v>
      </c>
      <c r="AH48" s="791" t="s">
        <v>360</v>
      </c>
      <c r="AI48" s="982" t="s">
        <v>580</v>
      </c>
      <c r="AJ48" s="983"/>
      <c r="AK48" s="983"/>
      <c r="AL48" s="983"/>
      <c r="AM48" s="983"/>
      <c r="AN48" s="984"/>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63"/>
      <c r="U49" s="105"/>
      <c r="V49" s="120"/>
      <c r="W49" s="787"/>
      <c r="X49" s="787"/>
      <c r="Y49" s="787"/>
      <c r="Z49" s="787"/>
      <c r="AA49" s="787"/>
      <c r="AB49" s="787"/>
      <c r="AC49" s="787"/>
      <c r="AD49" s="787"/>
      <c r="AE49" s="787"/>
      <c r="AF49" s="796"/>
      <c r="AG49" s="797"/>
      <c r="AH49" s="798"/>
      <c r="AI49" s="799"/>
      <c r="AJ49" s="799"/>
      <c r="AK49" s="799"/>
      <c r="AL49" s="799"/>
      <c r="AM49" s="799"/>
      <c r="AN49" s="800"/>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63"/>
      <c r="U50" s="105"/>
      <c r="V50" s="120"/>
      <c r="W50" s="787"/>
      <c r="X50" s="787"/>
      <c r="Y50" s="787"/>
      <c r="Z50" s="787"/>
      <c r="AA50" s="787"/>
      <c r="AB50" s="787"/>
      <c r="AC50" s="787"/>
      <c r="AD50" s="787"/>
      <c r="AE50" s="787"/>
      <c r="AF50" s="796"/>
      <c r="AG50" s="801"/>
      <c r="AH50" s="802"/>
      <c r="AI50" s="803"/>
      <c r="AJ50" s="803"/>
      <c r="AK50" s="803"/>
      <c r="AL50" s="803"/>
      <c r="AM50" s="803"/>
      <c r="AN50" s="804"/>
      <c r="AO50" s="113"/>
      <c r="AP50" s="105"/>
      <c r="AQ50" s="241"/>
      <c r="AR50" s="446"/>
    </row>
    <row r="51" spans="1:57" ht="16.2" customHeight="1" x14ac:dyDescent="0.3">
      <c r="A51" s="83"/>
      <c r="B51" s="104"/>
      <c r="C51" s="224"/>
      <c r="D51" s="736"/>
      <c r="E51" s="737"/>
      <c r="F51" s="737"/>
      <c r="G51" s="737"/>
      <c r="H51" s="737"/>
      <c r="I51" s="737"/>
      <c r="J51" s="737"/>
      <c r="K51" s="737"/>
      <c r="L51" s="738"/>
      <c r="M51" s="541" t="s">
        <v>585</v>
      </c>
      <c r="N51" s="533" t="s">
        <v>464</v>
      </c>
      <c r="O51" s="743" t="s">
        <v>315</v>
      </c>
      <c r="P51" s="952" t="s">
        <v>477</v>
      </c>
      <c r="Q51" s="953"/>
      <c r="R51" s="595" t="s">
        <v>640</v>
      </c>
      <c r="S51" s="542" t="s">
        <v>639</v>
      </c>
      <c r="T51" s="763"/>
      <c r="U51" s="105"/>
      <c r="V51" s="120"/>
      <c r="W51" s="787"/>
      <c r="X51" s="787"/>
      <c r="Y51" s="787"/>
      <c r="Z51" s="787"/>
      <c r="AA51" s="787"/>
      <c r="AB51" s="787"/>
      <c r="AC51" s="787"/>
      <c r="AD51" s="787"/>
      <c r="AE51" s="787"/>
      <c r="AF51" s="796"/>
      <c r="AG51" s="801"/>
      <c r="AH51" s="802"/>
      <c r="AI51" s="803"/>
      <c r="AJ51" s="803"/>
      <c r="AK51" s="803"/>
      <c r="AL51" s="803"/>
      <c r="AM51" s="803"/>
      <c r="AN51" s="804"/>
      <c r="AO51" s="113"/>
      <c r="AP51" s="105"/>
      <c r="AQ51" s="241"/>
      <c r="AR51" s="446"/>
    </row>
    <row r="52" spans="1:57" ht="16.2" customHeight="1" x14ac:dyDescent="0.3">
      <c r="A52" s="83"/>
      <c r="B52" s="104"/>
      <c r="C52" s="753"/>
      <c r="D52" s="748"/>
      <c r="E52" s="748"/>
      <c r="F52" s="748"/>
      <c r="G52" s="748"/>
      <c r="H52" s="748"/>
      <c r="I52" s="748"/>
      <c r="J52" s="748"/>
      <c r="K52" s="748"/>
      <c r="L52" s="749"/>
      <c r="M52" s="744" t="s">
        <v>489</v>
      </c>
      <c r="N52" s="523" t="s">
        <v>487</v>
      </c>
      <c r="O52" s="745">
        <v>2001</v>
      </c>
      <c r="P52" s="882" t="s">
        <v>478</v>
      </c>
      <c r="Q52" s="884"/>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787"/>
      <c r="X52" s="787"/>
      <c r="Y52" s="787"/>
      <c r="Z52" s="787"/>
      <c r="AA52" s="787"/>
      <c r="AB52" s="787"/>
      <c r="AC52" s="787"/>
      <c r="AD52" s="787"/>
      <c r="AE52" s="787"/>
      <c r="AF52" s="796"/>
      <c r="AG52" s="801"/>
      <c r="AH52" s="802"/>
      <c r="AI52" s="803"/>
      <c r="AJ52" s="803"/>
      <c r="AK52" s="803"/>
      <c r="AL52" s="803"/>
      <c r="AM52" s="803"/>
      <c r="AN52" s="804"/>
      <c r="AO52" s="113"/>
      <c r="AP52" s="105"/>
      <c r="AQ52" s="241"/>
      <c r="AR52" s="446"/>
    </row>
    <row r="53" spans="1:57" ht="16.2" customHeight="1" x14ac:dyDescent="0.3">
      <c r="A53" s="83"/>
      <c r="B53" s="104"/>
      <c r="C53" s="750"/>
      <c r="D53" s="751"/>
      <c r="E53" s="751"/>
      <c r="F53" s="751"/>
      <c r="G53" s="751"/>
      <c r="H53" s="751"/>
      <c r="I53" s="751"/>
      <c r="J53" s="751"/>
      <c r="K53" s="751"/>
      <c r="L53" s="752"/>
      <c r="M53" s="523" t="s">
        <v>641</v>
      </c>
      <c r="N53" s="139"/>
      <c r="O53" s="145"/>
      <c r="P53" s="882"/>
      <c r="Q53" s="884"/>
      <c r="R53" s="543" t="s">
        <v>354</v>
      </c>
      <c r="S53" s="544" t="str">
        <f ca="1">+IF(SUM(S46:S50)&gt;0,SUM(S46:S50),"")</f>
        <v/>
      </c>
      <c r="T53" s="763"/>
      <c r="U53" s="105"/>
      <c r="V53" s="120"/>
      <c r="W53" s="787"/>
      <c r="X53" s="787"/>
      <c r="Y53" s="787"/>
      <c r="Z53" s="787"/>
      <c r="AA53" s="787"/>
      <c r="AB53" s="787"/>
      <c r="AC53" s="787"/>
      <c r="AD53" s="787"/>
      <c r="AE53" s="787"/>
      <c r="AF53" s="796"/>
      <c r="AG53" s="805"/>
      <c r="AH53" s="806"/>
      <c r="AI53" s="807"/>
      <c r="AJ53" s="807"/>
      <c r="AK53" s="807"/>
      <c r="AL53" s="807"/>
      <c r="AM53" s="807"/>
      <c r="AN53" s="808"/>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929" t="str">
        <f>+"BEC Distribution: "&amp;E6</f>
        <v>BEC Distribution: Unit 2</v>
      </c>
      <c r="C56" s="930"/>
      <c r="D56" s="930"/>
      <c r="E56" s="930"/>
      <c r="F56" s="930"/>
      <c r="G56" s="931"/>
      <c r="H56" s="929" t="str">
        <f>+"Estimate Benchmark : "&amp;E6</f>
        <v>Estimate Benchmark : Unit 2</v>
      </c>
      <c r="I56" s="930"/>
      <c r="J56" s="930"/>
      <c r="K56" s="930"/>
      <c r="L56" s="930"/>
      <c r="M56" s="930"/>
      <c r="N56" s="931"/>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963" t="s">
        <v>762</v>
      </c>
      <c r="C80" s="964"/>
      <c r="D80" s="964"/>
      <c r="E80" s="964"/>
      <c r="F80" s="964"/>
      <c r="G80" s="965"/>
      <c r="H80" s="127" t="s">
        <v>699</v>
      </c>
      <c r="I80" s="128" t="s">
        <v>360</v>
      </c>
      <c r="J80" s="956" t="s">
        <v>580</v>
      </c>
      <c r="K80" s="957"/>
      <c r="L80" s="957"/>
      <c r="M80" s="957"/>
      <c r="N80" s="958"/>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966"/>
      <c r="C81" s="967"/>
      <c r="D81" s="967"/>
      <c r="E81" s="967"/>
      <c r="F81" s="967"/>
      <c r="G81" s="968"/>
      <c r="H81" s="628"/>
      <c r="I81" s="629"/>
      <c r="J81" s="949"/>
      <c r="K81" s="950"/>
      <c r="L81" s="950"/>
      <c r="M81" s="950"/>
      <c r="N81" s="951"/>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C6" sqref="C6:C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929" t="s">
        <v>270</v>
      </c>
      <c r="D3" s="930"/>
      <c r="E3" s="930"/>
      <c r="F3" s="931"/>
      <c r="G3" s="929" t="s">
        <v>341</v>
      </c>
      <c r="H3" s="931"/>
      <c r="J3" s="929" t="s">
        <v>500</v>
      </c>
      <c r="K3" s="930"/>
      <c r="L3" s="930"/>
      <c r="M3" s="931"/>
      <c r="O3" s="929" t="str">
        <f>+E6</f>
        <v>Unit 3</v>
      </c>
      <c r="P3" s="930"/>
      <c r="Q3" s="930"/>
      <c r="R3" s="930"/>
      <c r="S3" s="931"/>
      <c r="T3" s="106"/>
      <c r="U3" s="104"/>
      <c r="V3" s="120"/>
      <c r="W3" s="969" t="str">
        <f>+E6&amp;" Diagram"</f>
        <v>Unit 3 Diagram</v>
      </c>
      <c r="X3" s="970"/>
      <c r="Y3" s="970"/>
      <c r="Z3" s="970"/>
      <c r="AA3" s="970"/>
      <c r="AB3" s="970"/>
      <c r="AC3" s="970"/>
      <c r="AD3" s="970"/>
      <c r="AE3" s="970"/>
      <c r="AF3" s="970"/>
      <c r="AG3" s="970"/>
      <c r="AH3" s="971"/>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932" t="s">
        <v>265</v>
      </c>
      <c r="E5" s="933"/>
      <c r="F5" s="211"/>
      <c r="G5" s="932" t="s">
        <v>267</v>
      </c>
      <c r="H5" s="933"/>
      <c r="J5" s="494"/>
      <c r="K5" s="495"/>
      <c r="L5" s="214" t="s">
        <v>470</v>
      </c>
      <c r="M5" s="500" t="s">
        <v>504</v>
      </c>
      <c r="O5" s="885" t="s">
        <v>580</v>
      </c>
      <c r="P5" s="886"/>
      <c r="Q5" s="886"/>
      <c r="R5" s="886"/>
      <c r="S5" s="887"/>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954" t="s">
        <v>496</v>
      </c>
      <c r="D6" s="595" t="s">
        <v>687</v>
      </c>
      <c r="E6" s="610" t="str">
        <f>+'Plant Overview'!V39</f>
        <v>Unit 3</v>
      </c>
      <c r="F6" s="212"/>
      <c r="G6" s="85"/>
      <c r="H6" s="390" t="s">
        <v>262</v>
      </c>
      <c r="J6" s="496"/>
      <c r="K6" s="497"/>
      <c r="L6" s="94" t="s">
        <v>471</v>
      </c>
      <c r="M6" s="86" t="s">
        <v>505</v>
      </c>
      <c r="O6" s="912"/>
      <c r="P6" s="913"/>
      <c r="Q6" s="913"/>
      <c r="R6" s="913"/>
      <c r="S6" s="914"/>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955"/>
      <c r="D7" s="595" t="s">
        <v>686</v>
      </c>
      <c r="E7" s="540" t="str">
        <f>+'Plant Overview'!W39</f>
        <v>U-300</v>
      </c>
      <c r="F7" s="212"/>
      <c r="G7" s="208"/>
      <c r="H7" s="390" t="s">
        <v>263</v>
      </c>
      <c r="J7" s="496"/>
      <c r="K7" s="497"/>
      <c r="L7" s="214" t="s">
        <v>465</v>
      </c>
      <c r="M7" s="500" t="s">
        <v>503</v>
      </c>
      <c r="O7" s="915"/>
      <c r="P7" s="916"/>
      <c r="Q7" s="916"/>
      <c r="R7" s="916"/>
      <c r="S7" s="917"/>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90"/>
      <c r="D8" s="995" t="s">
        <v>312</v>
      </c>
      <c r="E8" s="961"/>
      <c r="F8" s="213"/>
      <c r="G8" s="95"/>
      <c r="H8" s="467" t="s">
        <v>264</v>
      </c>
      <c r="J8" s="496"/>
      <c r="K8" s="497"/>
      <c r="L8" s="214" t="s">
        <v>466</v>
      </c>
      <c r="M8" s="500" t="s">
        <v>501</v>
      </c>
      <c r="O8" s="915"/>
      <c r="P8" s="916"/>
      <c r="Q8" s="916"/>
      <c r="R8" s="916"/>
      <c r="S8" s="917"/>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936"/>
      <c r="D9" s="996"/>
      <c r="E9" s="962"/>
      <c r="F9" s="213"/>
      <c r="G9" s="110"/>
      <c r="H9" s="584" t="s">
        <v>268</v>
      </c>
      <c r="J9" s="498"/>
      <c r="K9" s="499"/>
      <c r="L9" s="214" t="s">
        <v>467</v>
      </c>
      <c r="M9" s="500" t="s">
        <v>502</v>
      </c>
      <c r="O9" s="918"/>
      <c r="P9" s="919"/>
      <c r="Q9" s="919"/>
      <c r="R9" s="919"/>
      <c r="S9" s="920"/>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929" t="s">
        <v>508</v>
      </c>
      <c r="E11" s="930"/>
      <c r="F11" s="930"/>
      <c r="G11" s="930"/>
      <c r="H11" s="930"/>
      <c r="I11" s="930"/>
      <c r="J11" s="930"/>
      <c r="K11" s="929" t="s">
        <v>507</v>
      </c>
      <c r="L11" s="930"/>
      <c r="M11" s="930"/>
      <c r="N11" s="930"/>
      <c r="O11" s="931"/>
      <c r="P11" s="929" t="s">
        <v>510</v>
      </c>
      <c r="Q11" s="930"/>
      <c r="R11" s="931"/>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499</v>
      </c>
      <c r="E12" s="539" t="s">
        <v>498</v>
      </c>
      <c r="F12" s="545" t="s">
        <v>464</v>
      </c>
      <c r="G12" s="545" t="s">
        <v>583</v>
      </c>
      <c r="H12" s="545" t="s">
        <v>509</v>
      </c>
      <c r="I12" s="539" t="s">
        <v>506</v>
      </c>
      <c r="J12" s="539" t="s">
        <v>235</v>
      </c>
      <c r="K12" s="530" t="s">
        <v>466</v>
      </c>
      <c r="L12" s="539" t="s">
        <v>467</v>
      </c>
      <c r="M12" s="537" t="s">
        <v>586</v>
      </c>
      <c r="N12" s="538" t="s">
        <v>469</v>
      </c>
      <c r="O12" s="534" t="s">
        <v>468</v>
      </c>
      <c r="P12" s="530" t="s">
        <v>465</v>
      </c>
      <c r="Q12" s="530" t="s">
        <v>471</v>
      </c>
      <c r="R12" s="537" t="s">
        <v>470</v>
      </c>
      <c r="S12" s="534" t="s">
        <v>497</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471"/>
      <c r="M13" s="375"/>
      <c r="N13" s="219"/>
      <c r="O13" s="222"/>
      <c r="P13" s="221"/>
      <c r="Q13" s="375"/>
      <c r="R13" s="219" t="str">
        <f>+IF(C13="","",(P13/M13)^K13*O13*(Q13/(N13/M13))^L13)</f>
        <v/>
      </c>
      <c r="S13" s="476"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471"/>
      <c r="F14" s="471"/>
      <c r="G14" s="471"/>
      <c r="H14" s="471"/>
      <c r="I14" s="471"/>
      <c r="J14" s="386"/>
      <c r="K14" s="471"/>
      <c r="L14" s="471"/>
      <c r="M14" s="471"/>
      <c r="N14" s="387"/>
      <c r="O14" s="387"/>
      <c r="P14" s="170"/>
      <c r="Q14" s="471"/>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471"/>
      <c r="F15" s="471"/>
      <c r="G15" s="471"/>
      <c r="H15" s="471"/>
      <c r="I15" s="471"/>
      <c r="J15" s="386"/>
      <c r="K15" s="471"/>
      <c r="L15" s="471"/>
      <c r="M15" s="471"/>
      <c r="N15" s="387"/>
      <c r="O15" s="471"/>
      <c r="P15" s="432"/>
      <c r="Q15" s="471"/>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471"/>
      <c r="F16" s="471"/>
      <c r="G16" s="471"/>
      <c r="H16" s="471"/>
      <c r="I16" s="471"/>
      <c r="J16" s="386"/>
      <c r="K16" s="471"/>
      <c r="L16" s="471"/>
      <c r="M16" s="471"/>
      <c r="N16" s="92"/>
      <c r="O16" s="471"/>
      <c r="P16" s="432"/>
      <c r="Q16" s="471"/>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471"/>
      <c r="F17" s="471"/>
      <c r="G17" s="471"/>
      <c r="H17" s="471"/>
      <c r="I17" s="471"/>
      <c r="J17" s="386"/>
      <c r="K17" s="92"/>
      <c r="L17" s="92"/>
      <c r="M17" s="471"/>
      <c r="N17" s="92"/>
      <c r="O17" s="92"/>
      <c r="P17" s="91"/>
      <c r="Q17" s="471"/>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471"/>
      <c r="F18" s="471"/>
      <c r="G18" s="471"/>
      <c r="H18" s="471"/>
      <c r="I18" s="471"/>
      <c r="J18" s="386"/>
      <c r="K18" s="92"/>
      <c r="L18" s="92"/>
      <c r="M18" s="471"/>
      <c r="N18" s="92"/>
      <c r="O18" s="471"/>
      <c r="P18" s="432"/>
      <c r="Q18" s="471"/>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471"/>
      <c r="F19" s="471"/>
      <c r="G19" s="471"/>
      <c r="H19" s="471"/>
      <c r="I19" s="471"/>
      <c r="J19" s="386"/>
      <c r="K19" s="92"/>
      <c r="L19" s="92"/>
      <c r="M19" s="471"/>
      <c r="N19" s="471"/>
      <c r="O19" s="471"/>
      <c r="P19" s="432"/>
      <c r="Q19" s="471"/>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471"/>
      <c r="F20" s="471"/>
      <c r="G20" s="471"/>
      <c r="H20" s="471"/>
      <c r="I20" s="471"/>
      <c r="J20" s="386"/>
      <c r="K20" s="92"/>
      <c r="L20" s="92"/>
      <c r="M20" s="471"/>
      <c r="N20" s="471"/>
      <c r="O20" s="471"/>
      <c r="P20" s="432"/>
      <c r="Q20" s="471"/>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471"/>
      <c r="F21" s="471"/>
      <c r="G21" s="471"/>
      <c r="H21" s="471"/>
      <c r="I21" s="471"/>
      <c r="J21" s="386"/>
      <c r="K21" s="471"/>
      <c r="L21" s="471"/>
      <c r="M21" s="471"/>
      <c r="N21" s="471"/>
      <c r="O21" s="471"/>
      <c r="P21" s="432"/>
      <c r="Q21" s="471"/>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471"/>
      <c r="F22" s="471"/>
      <c r="G22" s="471"/>
      <c r="H22" s="471"/>
      <c r="I22" s="471"/>
      <c r="J22" s="386"/>
      <c r="K22" s="471"/>
      <c r="L22" s="471"/>
      <c r="M22" s="471"/>
      <c r="N22" s="471"/>
      <c r="O22" s="471"/>
      <c r="P22" s="432"/>
      <c r="Q22" s="471"/>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471"/>
      <c r="F23" s="471"/>
      <c r="G23" s="471"/>
      <c r="H23" s="471"/>
      <c r="I23" s="471"/>
      <c r="J23" s="386"/>
      <c r="K23" s="471"/>
      <c r="L23" s="471"/>
      <c r="M23" s="471"/>
      <c r="N23" s="471"/>
      <c r="O23" s="471"/>
      <c r="P23" s="432"/>
      <c r="Q23" s="471"/>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471"/>
      <c r="F24" s="471"/>
      <c r="G24" s="471"/>
      <c r="H24" s="471"/>
      <c r="I24" s="471"/>
      <c r="J24" s="386"/>
      <c r="K24" s="471"/>
      <c r="L24" s="471"/>
      <c r="M24" s="471"/>
      <c r="N24" s="471"/>
      <c r="O24" s="471"/>
      <c r="P24" s="432"/>
      <c r="Q24" s="471"/>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471"/>
      <c r="F25" s="471"/>
      <c r="G25" s="471"/>
      <c r="H25" s="471"/>
      <c r="I25" s="471"/>
      <c r="J25" s="386"/>
      <c r="K25" s="471"/>
      <c r="L25" s="471"/>
      <c r="M25" s="471"/>
      <c r="N25" s="471"/>
      <c r="O25" s="471"/>
      <c r="P25" s="432"/>
      <c r="Q25" s="471"/>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471"/>
      <c r="F26" s="471"/>
      <c r="G26" s="471"/>
      <c r="H26" s="471"/>
      <c r="I26" s="471"/>
      <c r="J26" s="386"/>
      <c r="K26" s="471"/>
      <c r="L26" s="471"/>
      <c r="M26" s="471"/>
      <c r="N26" s="471"/>
      <c r="O26" s="471"/>
      <c r="P26" s="432"/>
      <c r="Q26" s="471"/>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471"/>
      <c r="F29" s="471"/>
      <c r="G29" s="471"/>
      <c r="H29" s="471"/>
      <c r="I29" s="471"/>
      <c r="J29" s="386"/>
      <c r="K29" s="379"/>
      <c r="L29" s="379"/>
      <c r="M29" s="379"/>
      <c r="N29" s="379"/>
      <c r="O29" s="379"/>
      <c r="P29" s="473"/>
      <c r="Q29" s="470"/>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471"/>
      <c r="F30" s="471"/>
      <c r="G30" s="471"/>
      <c r="H30" s="471"/>
      <c r="I30" s="471"/>
      <c r="J30" s="386"/>
      <c r="K30" s="379"/>
      <c r="L30" s="379"/>
      <c r="M30" s="379"/>
      <c r="N30" s="379"/>
      <c r="O30" s="379"/>
      <c r="P30" s="473"/>
      <c r="Q30" s="470"/>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471"/>
      <c r="F31" s="471"/>
      <c r="G31" s="471"/>
      <c r="H31" s="471"/>
      <c r="I31" s="471"/>
      <c r="J31" s="386"/>
      <c r="K31" s="379"/>
      <c r="L31" s="379"/>
      <c r="M31" s="379"/>
      <c r="N31" s="379"/>
      <c r="O31" s="379"/>
      <c r="P31" s="473"/>
      <c r="Q31" s="470"/>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471"/>
      <c r="F32" s="471"/>
      <c r="G32" s="471"/>
      <c r="H32" s="471"/>
      <c r="I32" s="471"/>
      <c r="J32" s="386"/>
      <c r="K32" s="379"/>
      <c r="L32" s="379"/>
      <c r="M32" s="379"/>
      <c r="N32" s="379"/>
      <c r="O32" s="379"/>
      <c r="P32" s="473"/>
      <c r="Q32" s="470"/>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471"/>
      <c r="F33" s="471"/>
      <c r="G33" s="471"/>
      <c r="H33" s="471"/>
      <c r="I33" s="471"/>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471"/>
      <c r="H34" s="471"/>
      <c r="I34" s="471"/>
      <c r="J34" s="386"/>
      <c r="K34" s="471"/>
      <c r="L34" s="92"/>
      <c r="M34" s="437"/>
      <c r="N34" s="437"/>
      <c r="O34" s="437"/>
      <c r="P34" s="993"/>
      <c r="Q34" s="994"/>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35" t="s">
        <v>639</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929" t="str">
        <f>+"BEC Distribution: "&amp;E6</f>
        <v>BEC Distribution: Unit 3</v>
      </c>
      <c r="C39" s="930"/>
      <c r="D39" s="930"/>
      <c r="E39" s="930"/>
      <c r="F39" s="930"/>
      <c r="G39" s="929" t="str">
        <f>+"Estimate Benchmark: "&amp;E6</f>
        <v>Estimate Benchmark: Unit 3</v>
      </c>
      <c r="H39" s="930"/>
      <c r="I39" s="930"/>
      <c r="J39" s="931"/>
      <c r="K39" s="929" t="s">
        <v>634</v>
      </c>
      <c r="L39" s="930"/>
      <c r="M39" s="931"/>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41" t="s">
        <v>589</v>
      </c>
      <c r="L40" s="938" t="s">
        <v>633</v>
      </c>
      <c r="M40" s="938"/>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87"/>
      <c r="M41" s="988"/>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85"/>
      <c r="M42" s="986"/>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85"/>
      <c r="M43" s="986"/>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85"/>
      <c r="M44" s="986"/>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63" t="s">
        <v>764</v>
      </c>
      <c r="C64" s="964"/>
      <c r="D64" s="964"/>
      <c r="E64" s="964"/>
      <c r="F64" s="965"/>
      <c r="G64" s="88" t="s">
        <v>699</v>
      </c>
      <c r="H64" s="88" t="s">
        <v>360</v>
      </c>
      <c r="I64" s="989" t="s">
        <v>580</v>
      </c>
      <c r="J64" s="989"/>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66"/>
      <c r="C65" s="967"/>
      <c r="D65" s="967"/>
      <c r="E65" s="967"/>
      <c r="F65" s="968"/>
      <c r="G65" s="630"/>
      <c r="H65" s="630"/>
      <c r="I65" s="991"/>
      <c r="J65" s="992"/>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G68" s="771"/>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G69" s="771"/>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C6" sqref="C6:C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929" t="s">
        <v>270</v>
      </c>
      <c r="D3" s="930"/>
      <c r="E3" s="930"/>
      <c r="F3" s="931"/>
      <c r="G3" s="929" t="s">
        <v>341</v>
      </c>
      <c r="H3" s="931"/>
      <c r="J3" s="929" t="s">
        <v>500</v>
      </c>
      <c r="K3" s="930"/>
      <c r="L3" s="930"/>
      <c r="M3" s="931"/>
      <c r="O3" s="929" t="str">
        <f>+E6</f>
        <v>Unit 4</v>
      </c>
      <c r="P3" s="930"/>
      <c r="Q3" s="930"/>
      <c r="R3" s="930"/>
      <c r="S3" s="931"/>
      <c r="T3" s="106"/>
      <c r="U3" s="104"/>
      <c r="V3" s="120"/>
      <c r="W3" s="969" t="str">
        <f>+E6&amp;" Diagram"</f>
        <v>Unit 4 Diagram</v>
      </c>
      <c r="X3" s="970"/>
      <c r="Y3" s="970"/>
      <c r="Z3" s="970"/>
      <c r="AA3" s="970"/>
      <c r="AB3" s="970"/>
      <c r="AC3" s="970"/>
      <c r="AD3" s="970"/>
      <c r="AE3" s="970"/>
      <c r="AF3" s="970"/>
      <c r="AG3" s="970"/>
      <c r="AH3" s="971"/>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932" t="s">
        <v>265</v>
      </c>
      <c r="E5" s="933"/>
      <c r="F5" s="211"/>
      <c r="G5" s="932" t="s">
        <v>267</v>
      </c>
      <c r="H5" s="933"/>
      <c r="J5" s="585"/>
      <c r="K5" s="586"/>
      <c r="L5" s="214" t="s">
        <v>470</v>
      </c>
      <c r="M5" s="500" t="s">
        <v>504</v>
      </c>
      <c r="O5" s="885" t="s">
        <v>580</v>
      </c>
      <c r="P5" s="886"/>
      <c r="Q5" s="886"/>
      <c r="R5" s="886"/>
      <c r="S5" s="887"/>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954" t="s">
        <v>496</v>
      </c>
      <c r="D6" s="595" t="s">
        <v>687</v>
      </c>
      <c r="E6" s="610" t="str">
        <f>+'Plant Overview'!V40</f>
        <v>Unit 4</v>
      </c>
      <c r="F6" s="212"/>
      <c r="G6" s="85"/>
      <c r="H6" s="390" t="s">
        <v>262</v>
      </c>
      <c r="J6" s="587"/>
      <c r="K6" s="588"/>
      <c r="L6" s="94" t="s">
        <v>471</v>
      </c>
      <c r="M6" s="86" t="s">
        <v>505</v>
      </c>
      <c r="O6" s="912"/>
      <c r="P6" s="913"/>
      <c r="Q6" s="913"/>
      <c r="R6" s="913"/>
      <c r="S6" s="914"/>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955"/>
      <c r="D7" s="595" t="s">
        <v>686</v>
      </c>
      <c r="E7" s="540" t="str">
        <f>+'Plant Overview'!W40</f>
        <v>U-400</v>
      </c>
      <c r="F7" s="212"/>
      <c r="G7" s="208"/>
      <c r="H7" s="390" t="s">
        <v>263</v>
      </c>
      <c r="J7" s="587"/>
      <c r="K7" s="588"/>
      <c r="L7" s="214" t="s">
        <v>465</v>
      </c>
      <c r="M7" s="500" t="s">
        <v>503</v>
      </c>
      <c r="O7" s="915"/>
      <c r="P7" s="916"/>
      <c r="Q7" s="916"/>
      <c r="R7" s="916"/>
      <c r="S7" s="917"/>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90"/>
      <c r="D8" s="995" t="s">
        <v>312</v>
      </c>
      <c r="E8" s="961"/>
      <c r="F8" s="213"/>
      <c r="G8" s="95"/>
      <c r="H8" s="467" t="s">
        <v>264</v>
      </c>
      <c r="J8" s="587"/>
      <c r="K8" s="588"/>
      <c r="L8" s="214" t="s">
        <v>466</v>
      </c>
      <c r="M8" s="500" t="s">
        <v>501</v>
      </c>
      <c r="O8" s="915"/>
      <c r="P8" s="916"/>
      <c r="Q8" s="916"/>
      <c r="R8" s="916"/>
      <c r="S8" s="917"/>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936"/>
      <c r="D9" s="996"/>
      <c r="E9" s="962"/>
      <c r="F9" s="213"/>
      <c r="G9" s="110"/>
      <c r="H9" s="584" t="s">
        <v>268</v>
      </c>
      <c r="J9" s="589"/>
      <c r="K9" s="590"/>
      <c r="L9" s="214" t="s">
        <v>467</v>
      </c>
      <c r="M9" s="500" t="s">
        <v>502</v>
      </c>
      <c r="O9" s="918"/>
      <c r="P9" s="919"/>
      <c r="Q9" s="919"/>
      <c r="R9" s="919"/>
      <c r="S9" s="920"/>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929" t="s">
        <v>508</v>
      </c>
      <c r="E11" s="930"/>
      <c r="F11" s="930"/>
      <c r="G11" s="930"/>
      <c r="H11" s="930"/>
      <c r="I11" s="930"/>
      <c r="J11" s="930"/>
      <c r="K11" s="929" t="s">
        <v>507</v>
      </c>
      <c r="L11" s="930"/>
      <c r="M11" s="930"/>
      <c r="N11" s="930"/>
      <c r="O11" s="931"/>
      <c r="P11" s="929" t="s">
        <v>510</v>
      </c>
      <c r="Q11" s="930"/>
      <c r="R11" s="931"/>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499</v>
      </c>
      <c r="E12" s="539" t="s">
        <v>498</v>
      </c>
      <c r="F12" s="545" t="s">
        <v>464</v>
      </c>
      <c r="G12" s="545" t="s">
        <v>583</v>
      </c>
      <c r="H12" s="545" t="s">
        <v>509</v>
      </c>
      <c r="I12" s="539" t="s">
        <v>506</v>
      </c>
      <c r="J12" s="539" t="s">
        <v>235</v>
      </c>
      <c r="K12" s="530" t="s">
        <v>466</v>
      </c>
      <c r="L12" s="539" t="s">
        <v>467</v>
      </c>
      <c r="M12" s="537" t="s">
        <v>586</v>
      </c>
      <c r="N12" s="538" t="s">
        <v>469</v>
      </c>
      <c r="O12" s="534" t="s">
        <v>468</v>
      </c>
      <c r="P12" s="530" t="s">
        <v>465</v>
      </c>
      <c r="Q12" s="530" t="s">
        <v>471</v>
      </c>
      <c r="R12" s="537" t="s">
        <v>470</v>
      </c>
      <c r="S12" s="534" t="s">
        <v>497</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583"/>
      <c r="M13" s="375"/>
      <c r="N13" s="219"/>
      <c r="O13" s="222"/>
      <c r="P13" s="221"/>
      <c r="Q13" s="375"/>
      <c r="R13" s="219" t="str">
        <f>+IF(C13="","",(P13/M13)^K13*O13*(Q13/(N13/M13))^L13)</f>
        <v/>
      </c>
      <c r="S13" s="592"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583"/>
      <c r="F14" s="583"/>
      <c r="G14" s="583"/>
      <c r="H14" s="583"/>
      <c r="I14" s="583"/>
      <c r="J14" s="386"/>
      <c r="K14" s="583"/>
      <c r="L14" s="583"/>
      <c r="M14" s="583"/>
      <c r="N14" s="387"/>
      <c r="O14" s="387"/>
      <c r="P14" s="170"/>
      <c r="Q14" s="583"/>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583"/>
      <c r="F15" s="583"/>
      <c r="G15" s="583"/>
      <c r="H15" s="583"/>
      <c r="I15" s="583"/>
      <c r="J15" s="386"/>
      <c r="K15" s="583"/>
      <c r="L15" s="583"/>
      <c r="M15" s="583"/>
      <c r="N15" s="387"/>
      <c r="O15" s="583"/>
      <c r="P15" s="432"/>
      <c r="Q15" s="583"/>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583"/>
      <c r="F16" s="583"/>
      <c r="G16" s="583"/>
      <c r="H16" s="583"/>
      <c r="I16" s="583"/>
      <c r="J16" s="386"/>
      <c r="K16" s="583"/>
      <c r="L16" s="583"/>
      <c r="M16" s="583"/>
      <c r="N16" s="92"/>
      <c r="O16" s="583"/>
      <c r="P16" s="432"/>
      <c r="Q16" s="583"/>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583"/>
      <c r="F17" s="583"/>
      <c r="G17" s="583"/>
      <c r="H17" s="583"/>
      <c r="I17" s="583"/>
      <c r="J17" s="386"/>
      <c r="K17" s="92"/>
      <c r="L17" s="92"/>
      <c r="M17" s="583"/>
      <c r="N17" s="92"/>
      <c r="O17" s="92"/>
      <c r="P17" s="91"/>
      <c r="Q17" s="583"/>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583"/>
      <c r="F18" s="583"/>
      <c r="G18" s="583"/>
      <c r="H18" s="583"/>
      <c r="I18" s="583"/>
      <c r="J18" s="386"/>
      <c r="K18" s="92"/>
      <c r="L18" s="92"/>
      <c r="M18" s="583"/>
      <c r="N18" s="92"/>
      <c r="O18" s="583"/>
      <c r="P18" s="432"/>
      <c r="Q18" s="583"/>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583"/>
      <c r="F19" s="583"/>
      <c r="G19" s="583"/>
      <c r="H19" s="583"/>
      <c r="I19" s="583"/>
      <c r="J19" s="386"/>
      <c r="K19" s="92"/>
      <c r="L19" s="92"/>
      <c r="M19" s="583"/>
      <c r="N19" s="583"/>
      <c r="O19" s="583"/>
      <c r="P19" s="432"/>
      <c r="Q19" s="583"/>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583"/>
      <c r="F20" s="583"/>
      <c r="G20" s="583"/>
      <c r="H20" s="583"/>
      <c r="I20" s="583"/>
      <c r="J20" s="386"/>
      <c r="K20" s="92"/>
      <c r="L20" s="92"/>
      <c r="M20" s="583"/>
      <c r="N20" s="583"/>
      <c r="O20" s="583"/>
      <c r="P20" s="432"/>
      <c r="Q20" s="583"/>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583"/>
      <c r="F21" s="583"/>
      <c r="G21" s="583"/>
      <c r="H21" s="583"/>
      <c r="I21" s="583"/>
      <c r="J21" s="386"/>
      <c r="K21" s="583"/>
      <c r="L21" s="583"/>
      <c r="M21" s="583"/>
      <c r="N21" s="583"/>
      <c r="O21" s="583"/>
      <c r="P21" s="432"/>
      <c r="Q21" s="583"/>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583"/>
      <c r="F22" s="583"/>
      <c r="G22" s="583"/>
      <c r="H22" s="583"/>
      <c r="I22" s="583"/>
      <c r="J22" s="386"/>
      <c r="K22" s="583"/>
      <c r="L22" s="583"/>
      <c r="M22" s="583"/>
      <c r="N22" s="583"/>
      <c r="O22" s="583"/>
      <c r="P22" s="432"/>
      <c r="Q22" s="583"/>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583"/>
      <c r="F23" s="583"/>
      <c r="G23" s="583"/>
      <c r="H23" s="583"/>
      <c r="I23" s="583"/>
      <c r="J23" s="386"/>
      <c r="K23" s="583"/>
      <c r="L23" s="583"/>
      <c r="M23" s="583"/>
      <c r="N23" s="583"/>
      <c r="O23" s="583"/>
      <c r="P23" s="432"/>
      <c r="Q23" s="583"/>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583"/>
      <c r="F24" s="583"/>
      <c r="G24" s="583"/>
      <c r="H24" s="583"/>
      <c r="I24" s="583"/>
      <c r="J24" s="386"/>
      <c r="K24" s="583"/>
      <c r="L24" s="583"/>
      <c r="M24" s="583"/>
      <c r="N24" s="583"/>
      <c r="O24" s="583"/>
      <c r="P24" s="432"/>
      <c r="Q24" s="583"/>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583"/>
      <c r="F25" s="583"/>
      <c r="G25" s="583"/>
      <c r="H25" s="583"/>
      <c r="I25" s="583"/>
      <c r="J25" s="386"/>
      <c r="K25" s="583"/>
      <c r="L25" s="583"/>
      <c r="M25" s="583"/>
      <c r="N25" s="583"/>
      <c r="O25" s="583"/>
      <c r="P25" s="432"/>
      <c r="Q25" s="583"/>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583"/>
      <c r="F26" s="583"/>
      <c r="G26" s="583"/>
      <c r="H26" s="583"/>
      <c r="I26" s="583"/>
      <c r="J26" s="386"/>
      <c r="K26" s="583"/>
      <c r="L26" s="583"/>
      <c r="M26" s="583"/>
      <c r="N26" s="583"/>
      <c r="O26" s="583"/>
      <c r="P26" s="432"/>
      <c r="Q26" s="583"/>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583"/>
      <c r="F29" s="583"/>
      <c r="G29" s="583"/>
      <c r="H29" s="583"/>
      <c r="I29" s="583"/>
      <c r="J29" s="386"/>
      <c r="K29" s="379"/>
      <c r="L29" s="379"/>
      <c r="M29" s="379"/>
      <c r="N29" s="379"/>
      <c r="O29" s="379"/>
      <c r="P29" s="581"/>
      <c r="Q29" s="582"/>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583"/>
      <c r="F30" s="583"/>
      <c r="G30" s="583"/>
      <c r="H30" s="583"/>
      <c r="I30" s="583"/>
      <c r="J30" s="386"/>
      <c r="K30" s="379"/>
      <c r="L30" s="379"/>
      <c r="M30" s="379"/>
      <c r="N30" s="379"/>
      <c r="O30" s="379"/>
      <c r="P30" s="581"/>
      <c r="Q30" s="582"/>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583"/>
      <c r="F31" s="583"/>
      <c r="G31" s="583"/>
      <c r="H31" s="583"/>
      <c r="I31" s="583"/>
      <c r="J31" s="386"/>
      <c r="K31" s="379"/>
      <c r="L31" s="379"/>
      <c r="M31" s="379"/>
      <c r="N31" s="379"/>
      <c r="O31" s="379"/>
      <c r="P31" s="581"/>
      <c r="Q31" s="582"/>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583"/>
      <c r="F32" s="583"/>
      <c r="G32" s="583"/>
      <c r="H32" s="583"/>
      <c r="I32" s="583"/>
      <c r="J32" s="386"/>
      <c r="K32" s="379"/>
      <c r="L32" s="379"/>
      <c r="M32" s="379"/>
      <c r="N32" s="379"/>
      <c r="O32" s="379"/>
      <c r="P32" s="581"/>
      <c r="Q32" s="582"/>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583"/>
      <c r="F33" s="583"/>
      <c r="G33" s="583"/>
      <c r="H33" s="583"/>
      <c r="I33" s="583"/>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583"/>
      <c r="H34" s="583"/>
      <c r="I34" s="583"/>
      <c r="J34" s="386"/>
      <c r="K34" s="583"/>
      <c r="L34" s="92"/>
      <c r="M34" s="437"/>
      <c r="N34" s="437"/>
      <c r="O34" s="437"/>
      <c r="P34" s="993"/>
      <c r="Q34" s="994"/>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95" t="s">
        <v>639</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929" t="str">
        <f>+"BEC Distribution: "&amp;E6</f>
        <v>BEC Distribution: Unit 4</v>
      </c>
      <c r="C39" s="930"/>
      <c r="D39" s="930"/>
      <c r="E39" s="930"/>
      <c r="F39" s="930"/>
      <c r="G39" s="929" t="str">
        <f>+"Estimate Benchmark: "&amp;E6</f>
        <v>Estimate Benchmark: Unit 4</v>
      </c>
      <c r="H39" s="930"/>
      <c r="I39" s="930"/>
      <c r="J39" s="931"/>
      <c r="K39" s="929" t="s">
        <v>634</v>
      </c>
      <c r="L39" s="930"/>
      <c r="M39" s="931"/>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66" t="s">
        <v>589</v>
      </c>
      <c r="L40" s="997" t="s">
        <v>633</v>
      </c>
      <c r="M40" s="998"/>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87"/>
      <c r="M41" s="988"/>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85"/>
      <c r="M42" s="986"/>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85"/>
      <c r="M43" s="986"/>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85"/>
      <c r="M44" s="986"/>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63" t="s">
        <v>764</v>
      </c>
      <c r="C64" s="964"/>
      <c r="D64" s="964"/>
      <c r="E64" s="964"/>
      <c r="F64" s="965"/>
      <c r="G64" s="88" t="s">
        <v>699</v>
      </c>
      <c r="H64" s="88" t="s">
        <v>360</v>
      </c>
      <c r="I64" s="989" t="s">
        <v>580</v>
      </c>
      <c r="J64" s="989"/>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66"/>
      <c r="C65" s="967"/>
      <c r="D65" s="967"/>
      <c r="E65" s="967"/>
      <c r="F65" s="968"/>
      <c r="G65" s="630"/>
      <c r="H65" s="630"/>
      <c r="I65" s="991"/>
      <c r="J65" s="992"/>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B1" sqref="B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7" t="s">
        <v>574</v>
      </c>
      <c r="C1" s="83"/>
      <c r="D1" s="83"/>
      <c r="E1" s="83"/>
      <c r="F1" s="83"/>
      <c r="G1" s="83"/>
      <c r="H1" s="83"/>
      <c r="I1" s="105"/>
      <c r="J1" s="105"/>
      <c r="K1" s="105"/>
      <c r="L1" s="83"/>
      <c r="M1" s="83"/>
      <c r="N1" s="83"/>
      <c r="O1" s="83"/>
    </row>
    <row r="2" spans="1:15" ht="24" customHeight="1" x14ac:dyDescent="0.3">
      <c r="B2" s="287"/>
      <c r="C2" s="287"/>
      <c r="D2" s="287"/>
      <c r="E2" s="287"/>
      <c r="F2" s="287"/>
      <c r="G2" s="287"/>
      <c r="H2" s="287"/>
      <c r="I2" s="444"/>
      <c r="J2" s="444"/>
      <c r="K2" s="444"/>
      <c r="L2" s="83"/>
      <c r="M2" s="83"/>
      <c r="N2" s="172"/>
      <c r="O2" s="172"/>
    </row>
    <row r="3" spans="1:15" ht="38.4" customHeight="1" x14ac:dyDescent="0.3">
      <c r="A3" s="83"/>
      <c r="B3" s="547" t="s">
        <v>462</v>
      </c>
      <c r="C3" s="548" t="s">
        <v>463</v>
      </c>
      <c r="D3" s="546" t="s">
        <v>663</v>
      </c>
      <c r="E3" s="546" t="s">
        <v>664</v>
      </c>
      <c r="F3" s="546" t="s">
        <v>692</v>
      </c>
      <c r="G3" s="546" t="s">
        <v>693</v>
      </c>
      <c r="H3" s="546" t="s">
        <v>441</v>
      </c>
      <c r="I3" s="172"/>
      <c r="J3" s="92"/>
      <c r="K3" s="92"/>
    </row>
    <row r="4" spans="1:15" ht="38.4" customHeight="1" x14ac:dyDescent="0.3">
      <c r="A4" s="83"/>
      <c r="B4" s="87" t="s">
        <v>675</v>
      </c>
      <c r="C4" s="521" t="s">
        <v>356</v>
      </c>
      <c r="D4" s="522" t="str">
        <f>+'Unit-100'!E6</f>
        <v>Unit 1</v>
      </c>
      <c r="E4" s="522" t="str">
        <f>+'Unit-200'!E6</f>
        <v>Unit 2</v>
      </c>
      <c r="F4" s="522" t="str">
        <f>+'Unit-300'!E6</f>
        <v>Unit 3</v>
      </c>
      <c r="G4" s="522" t="str">
        <f>+'Unit-400'!E6</f>
        <v>Unit 4</v>
      </c>
      <c r="H4" s="461" t="str">
        <f>+'Plant Overview'!E6</f>
        <v>Plant A</v>
      </c>
      <c r="I4" s="172"/>
      <c r="J4" s="92"/>
      <c r="K4" s="92"/>
    </row>
    <row r="5" spans="1:15" ht="38.4" customHeight="1" x14ac:dyDescent="0.3">
      <c r="A5" s="83"/>
      <c r="B5" s="520" t="s">
        <v>239</v>
      </c>
      <c r="C5" s="521" t="s">
        <v>356</v>
      </c>
      <c r="D5" s="463" t="s">
        <v>240</v>
      </c>
      <c r="E5" s="463" t="str">
        <f>+'Unit-200'!E7</f>
        <v>U-200</v>
      </c>
      <c r="F5" s="463" t="str">
        <f>+'Unit-300'!E7</f>
        <v>U-300</v>
      </c>
      <c r="G5" s="463" t="str">
        <f>+'Unit-400'!E7</f>
        <v>U-400</v>
      </c>
      <c r="H5" s="461" t="s">
        <v>590</v>
      </c>
      <c r="I5" s="172"/>
      <c r="J5" s="92"/>
      <c r="K5" s="92"/>
    </row>
    <row r="6" spans="1:15" ht="38.4" customHeight="1" thickBot="1" x14ac:dyDescent="0.35">
      <c r="A6" s="83"/>
      <c r="B6" s="275" t="s">
        <v>587</v>
      </c>
      <c r="C6" s="187" t="s">
        <v>588</v>
      </c>
      <c r="D6" s="479" t="e">
        <f ca="1">+'Unit-100'!S52+'Unit-100'!S53</f>
        <v>#VALUE!</v>
      </c>
      <c r="E6" s="479" t="e">
        <f ca="1">+'Unit-200'!S52+'Unit-200'!S53</f>
        <v>#VALUE!</v>
      </c>
      <c r="F6" s="479" t="e">
        <f ca="1">+'Unit-300'!S36+0</f>
        <v>#VALUE!</v>
      </c>
      <c r="G6" s="479" t="e">
        <f ca="1">+'Unit-400'!S36+0</f>
        <v>#VALUE!</v>
      </c>
      <c r="H6" s="480"/>
      <c r="I6" s="172"/>
      <c r="J6" s="92"/>
      <c r="K6" s="92"/>
    </row>
    <row r="7" spans="1:15" ht="38.4" customHeight="1" thickTop="1" x14ac:dyDescent="0.3">
      <c r="A7" s="83"/>
      <c r="B7" s="289" t="s">
        <v>273</v>
      </c>
      <c r="C7" s="160" t="s">
        <v>657</v>
      </c>
      <c r="D7" s="480" t="e">
        <f ca="1">+D6*D18</f>
        <v>#VALUE!</v>
      </c>
      <c r="E7" s="480" t="e">
        <f ca="1">+E6*E18</f>
        <v>#VALUE!</v>
      </c>
      <c r="F7" s="480" t="e">
        <f ca="1">+F6*F18</f>
        <v>#VALUE!</v>
      </c>
      <c r="G7" s="480" t="e">
        <f ca="1">+G6*G18</f>
        <v>#VALUE!</v>
      </c>
      <c r="H7" s="480"/>
      <c r="I7" s="172"/>
      <c r="J7" s="92"/>
      <c r="K7" s="92"/>
    </row>
    <row r="8" spans="1:15" ht="38.4" customHeight="1" x14ac:dyDescent="0.3">
      <c r="A8" s="83"/>
      <c r="B8" s="158" t="s">
        <v>274</v>
      </c>
      <c r="C8" s="161" t="s">
        <v>657</v>
      </c>
      <c r="D8" s="480" t="e">
        <f ca="1">+D19*D6</f>
        <v>#VALUE!</v>
      </c>
      <c r="E8" s="480" t="e">
        <f ca="1">+E19*E6</f>
        <v>#VALUE!</v>
      </c>
      <c r="F8" s="480" t="e">
        <f ca="1">+F19*F6</f>
        <v>#VALUE!</v>
      </c>
      <c r="G8" s="480" t="e">
        <f ca="1">+G19*G6</f>
        <v>#VALUE!</v>
      </c>
      <c r="H8" s="480"/>
      <c r="I8" s="83"/>
    </row>
    <row r="9" spans="1:15" ht="38.4" customHeight="1" x14ac:dyDescent="0.3">
      <c r="A9" s="83"/>
      <c r="B9" s="158" t="s">
        <v>275</v>
      </c>
      <c r="C9" s="285" t="s">
        <v>658</v>
      </c>
      <c r="D9" s="480" t="e">
        <f ca="1">+D20*(D6+D7+D8)</f>
        <v>#VALUE!</v>
      </c>
      <c r="E9" s="480" t="e">
        <f ca="1">+E20*(E6+E7+E8)</f>
        <v>#VALUE!</v>
      </c>
      <c r="F9" s="480" t="e">
        <f ca="1">+F20*(F6+F7+F8)</f>
        <v>#VALUE!</v>
      </c>
      <c r="G9" s="480" t="e">
        <f ca="1">+G20*(G6+G7+G8)</f>
        <v>#VALUE!</v>
      </c>
      <c r="H9" s="480"/>
      <c r="I9" s="83"/>
    </row>
    <row r="10" spans="1:15" ht="38.4" customHeight="1" x14ac:dyDescent="0.3">
      <c r="A10" s="83"/>
      <c r="B10" s="158" t="s">
        <v>276</v>
      </c>
      <c r="C10" s="159" t="s">
        <v>277</v>
      </c>
      <c r="D10" s="480" t="e">
        <f ca="1">+SUM(D8+D9)</f>
        <v>#VALUE!</v>
      </c>
      <c r="E10" s="480" t="e">
        <f t="shared" ref="E10:G10" ca="1" si="0">+SUM(E8+E9)</f>
        <v>#VALUE!</v>
      </c>
      <c r="F10" s="480" t="e">
        <f t="shared" ca="1" si="0"/>
        <v>#VALUE!</v>
      </c>
      <c r="G10" s="480" t="e">
        <f t="shared" ca="1" si="0"/>
        <v>#VALUE!</v>
      </c>
      <c r="H10" s="480"/>
      <c r="I10" s="83"/>
    </row>
    <row r="11" spans="1:15" ht="38.4" customHeight="1" x14ac:dyDescent="0.3">
      <c r="A11" s="83"/>
      <c r="B11" s="158" t="s">
        <v>278</v>
      </c>
      <c r="C11" s="159" t="s">
        <v>279</v>
      </c>
      <c r="D11" s="480" t="e">
        <f ca="1">+D6+D7+D10</f>
        <v>#VALUE!</v>
      </c>
      <c r="E11" s="480" t="e">
        <f t="shared" ref="E11:G11" ca="1" si="1">+E6+E7+E10</f>
        <v>#VALUE!</v>
      </c>
      <c r="F11" s="480" t="e">
        <f t="shared" ca="1" si="1"/>
        <v>#VALUE!</v>
      </c>
      <c r="G11" s="480" t="e">
        <f t="shared" ca="1" si="1"/>
        <v>#VALUE!</v>
      </c>
      <c r="H11" s="480"/>
      <c r="I11" s="83"/>
    </row>
    <row r="12" spans="1:15" ht="38.4" customHeight="1" x14ac:dyDescent="0.3">
      <c r="A12" s="83"/>
      <c r="B12" s="158" t="s">
        <v>280</v>
      </c>
      <c r="C12" s="159" t="s">
        <v>655</v>
      </c>
      <c r="D12" s="480" t="e">
        <f ca="1">+D11*D23</f>
        <v>#VALUE!</v>
      </c>
      <c r="E12" s="480" t="e">
        <f ca="1">+E11*E23</f>
        <v>#VALUE!</v>
      </c>
      <c r="F12" s="480" t="e">
        <f ca="1">+F11*F23</f>
        <v>#VALUE!</v>
      </c>
      <c r="G12" s="480" t="e">
        <f ca="1">+G11*G23</f>
        <v>#VALUE!</v>
      </c>
      <c r="H12" s="480"/>
      <c r="I12" s="83"/>
    </row>
    <row r="13" spans="1:15" ht="38.4" customHeight="1" thickBot="1" x14ac:dyDescent="0.35">
      <c r="A13" s="83"/>
      <c r="B13" s="189" t="s">
        <v>281</v>
      </c>
      <c r="C13" s="190" t="s">
        <v>282</v>
      </c>
      <c r="D13" s="480" t="e">
        <f ca="1">+D11+D12</f>
        <v>#VALUE!</v>
      </c>
      <c r="E13" s="480" t="e">
        <f t="shared" ref="E13:G13" ca="1" si="2">+E11+E12</f>
        <v>#VALUE!</v>
      </c>
      <c r="F13" s="480" t="e">
        <f t="shared" ca="1" si="2"/>
        <v>#VALUE!</v>
      </c>
      <c r="G13" s="480" t="e">
        <f t="shared" ca="1" si="2"/>
        <v>#VALUE!</v>
      </c>
      <c r="H13" s="480"/>
      <c r="I13" s="83"/>
    </row>
    <row r="14" spans="1:15" ht="38.4" customHeight="1" thickTop="1" x14ac:dyDescent="0.3">
      <c r="A14" s="83"/>
      <c r="B14" s="191" t="s">
        <v>283</v>
      </c>
      <c r="C14" s="160" t="s">
        <v>656</v>
      </c>
      <c r="D14" s="480" t="e">
        <f ca="1">+D13*D25</f>
        <v>#VALUE!</v>
      </c>
      <c r="E14" s="480" t="e">
        <f ca="1">+E13*E25</f>
        <v>#VALUE!</v>
      </c>
      <c r="F14" s="480" t="e">
        <f ca="1">+F13*F25</f>
        <v>#VALUE!</v>
      </c>
      <c r="G14" s="480" t="e">
        <f ca="1">+G13*G25</f>
        <v>#VALUE!</v>
      </c>
      <c r="H14" s="480"/>
      <c r="I14" s="83"/>
    </row>
    <row r="15" spans="1:15" x14ac:dyDescent="0.3">
      <c r="A15" s="83"/>
      <c r="B15" s="83"/>
      <c r="C15" s="83"/>
      <c r="D15" s="246"/>
      <c r="E15" s="246"/>
      <c r="F15" s="246"/>
      <c r="G15" s="246"/>
      <c r="H15" s="246"/>
      <c r="M15" s="83"/>
      <c r="N15" s="83"/>
      <c r="O15" s="83"/>
    </row>
    <row r="16" spans="1:15" ht="38.4" customHeight="1" x14ac:dyDescent="0.3">
      <c r="A16" s="83"/>
      <c r="B16" s="547" t="s">
        <v>360</v>
      </c>
      <c r="C16" s="547" t="s">
        <v>463</v>
      </c>
      <c r="D16" s="568" t="s">
        <v>663</v>
      </c>
      <c r="E16" s="568" t="s">
        <v>664</v>
      </c>
      <c r="F16" s="568" t="s">
        <v>692</v>
      </c>
      <c r="G16" s="568" t="s">
        <v>693</v>
      </c>
      <c r="H16" s="176"/>
      <c r="I16" s="83"/>
      <c r="J16" s="83"/>
    </row>
    <row r="17" spans="1:15" ht="38.4" customHeight="1" x14ac:dyDescent="0.3">
      <c r="A17" s="83"/>
      <c r="B17" s="86" t="s">
        <v>271</v>
      </c>
      <c r="C17" s="86" t="s">
        <v>272</v>
      </c>
      <c r="D17" s="517" t="s">
        <v>354</v>
      </c>
      <c r="E17" s="517" t="s">
        <v>354</v>
      </c>
      <c r="F17" s="517" t="s">
        <v>354</v>
      </c>
      <c r="G17" s="517" t="s">
        <v>354</v>
      </c>
      <c r="H17" s="176"/>
      <c r="I17" s="83"/>
      <c r="J17" s="83"/>
    </row>
    <row r="18" spans="1:15" ht="38.4" customHeight="1" x14ac:dyDescent="0.3">
      <c r="A18" s="83"/>
      <c r="B18" s="604" t="s">
        <v>273</v>
      </c>
      <c r="C18" s="86" t="s">
        <v>657</v>
      </c>
      <c r="D18" s="518">
        <v>0.1</v>
      </c>
      <c r="E18" s="518">
        <v>0.1</v>
      </c>
      <c r="F18" s="518">
        <v>0.1</v>
      </c>
      <c r="G18" s="518">
        <v>0.1</v>
      </c>
      <c r="H18" s="176"/>
      <c r="I18" s="83"/>
      <c r="J18" s="83"/>
    </row>
    <row r="19" spans="1:15" ht="38.4" customHeight="1" x14ac:dyDescent="0.3">
      <c r="A19" s="83"/>
      <c r="B19" s="86" t="s">
        <v>274</v>
      </c>
      <c r="C19" s="86" t="s">
        <v>657</v>
      </c>
      <c r="D19" s="519">
        <v>0</v>
      </c>
      <c r="E19" s="519">
        <v>0</v>
      </c>
      <c r="F19" s="519">
        <v>0</v>
      </c>
      <c r="G19" s="519">
        <v>0</v>
      </c>
      <c r="H19" s="176"/>
      <c r="I19" s="83"/>
      <c r="J19" s="83"/>
    </row>
    <row r="20" spans="1:15" ht="38.4" customHeight="1" x14ac:dyDescent="0.3">
      <c r="A20" s="83"/>
      <c r="B20" s="86" t="s">
        <v>275</v>
      </c>
      <c r="C20" s="86" t="s">
        <v>658</v>
      </c>
      <c r="D20" s="519">
        <v>0.2</v>
      </c>
      <c r="E20" s="519">
        <v>0.2</v>
      </c>
      <c r="F20" s="519">
        <v>0.2</v>
      </c>
      <c r="G20" s="519">
        <v>0.2</v>
      </c>
      <c r="H20" s="176"/>
      <c r="I20" s="83"/>
      <c r="J20" s="83"/>
    </row>
    <row r="21" spans="1:15" ht="38.4" customHeight="1" x14ac:dyDescent="0.3">
      <c r="A21" s="83"/>
      <c r="B21" s="86" t="s">
        <v>276</v>
      </c>
      <c r="C21" s="86" t="s">
        <v>277</v>
      </c>
      <c r="D21" s="379" t="s">
        <v>354</v>
      </c>
      <c r="E21" s="379" t="s">
        <v>354</v>
      </c>
      <c r="F21" s="379" t="s">
        <v>354</v>
      </c>
      <c r="G21" s="379" t="s">
        <v>354</v>
      </c>
      <c r="H21" s="176"/>
      <c r="I21" s="83"/>
      <c r="J21" s="83"/>
    </row>
    <row r="22" spans="1:15" ht="38.4" customHeight="1" x14ac:dyDescent="0.3">
      <c r="A22" s="83"/>
      <c r="B22" s="86" t="s">
        <v>278</v>
      </c>
      <c r="C22" s="86" t="s">
        <v>279</v>
      </c>
      <c r="D22" s="379" t="s">
        <v>354</v>
      </c>
      <c r="E22" s="379" t="s">
        <v>354</v>
      </c>
      <c r="F22" s="379" t="s">
        <v>354</v>
      </c>
      <c r="G22" s="379" t="s">
        <v>354</v>
      </c>
      <c r="H22" s="176"/>
      <c r="I22" s="83"/>
      <c r="J22" s="83"/>
    </row>
    <row r="23" spans="1:15" ht="38.4" customHeight="1" x14ac:dyDescent="0.3">
      <c r="A23" s="83"/>
      <c r="B23" s="86" t="s">
        <v>280</v>
      </c>
      <c r="C23" s="86" t="s">
        <v>655</v>
      </c>
      <c r="D23" s="519">
        <v>0.15</v>
      </c>
      <c r="E23" s="519">
        <v>0.15</v>
      </c>
      <c r="F23" s="519">
        <v>0.15</v>
      </c>
      <c r="G23" s="519">
        <v>0.15</v>
      </c>
      <c r="H23" s="176"/>
      <c r="I23" s="83"/>
      <c r="J23" s="83"/>
    </row>
    <row r="24" spans="1:15" ht="38.4" customHeight="1" x14ac:dyDescent="0.3">
      <c r="A24" s="83"/>
      <c r="B24" s="86" t="s">
        <v>281</v>
      </c>
      <c r="C24" s="86" t="s">
        <v>282</v>
      </c>
      <c r="D24" s="379" t="s">
        <v>354</v>
      </c>
      <c r="E24" s="379" t="s">
        <v>354</v>
      </c>
      <c r="F24" s="379" t="s">
        <v>354</v>
      </c>
      <c r="G24" s="379" t="s">
        <v>354</v>
      </c>
      <c r="H24" s="176"/>
      <c r="I24" s="83"/>
      <c r="J24" s="83"/>
    </row>
    <row r="25" spans="1:15" ht="38.4" customHeight="1" x14ac:dyDescent="0.3">
      <c r="A25" s="83"/>
      <c r="B25" s="86" t="s">
        <v>283</v>
      </c>
      <c r="C25" s="86" t="s">
        <v>284</v>
      </c>
      <c r="D25" s="519">
        <v>1.1100000000000001</v>
      </c>
      <c r="E25" s="519">
        <v>1.1100000000000001</v>
      </c>
      <c r="F25" s="519">
        <v>1.1100000000000001</v>
      </c>
      <c r="G25" s="519">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99" t="s">
        <v>632</v>
      </c>
      <c r="C28" s="1000"/>
      <c r="D28" s="92"/>
      <c r="E28" s="286"/>
      <c r="G28" s="83"/>
      <c r="H28" s="83"/>
      <c r="I28" s="83"/>
      <c r="J28" s="83"/>
      <c r="K28" s="83"/>
      <c r="L28" s="83"/>
      <c r="M28" s="83"/>
      <c r="N28" s="83"/>
      <c r="O28" s="83"/>
    </row>
    <row r="29" spans="1:15" ht="36" customHeight="1" x14ac:dyDescent="0.3">
      <c r="A29" s="83"/>
      <c r="B29" s="509" t="s">
        <v>464</v>
      </c>
      <c r="C29" s="560" t="str">
        <f>+'Plant Overview'!E9</f>
        <v>€</v>
      </c>
      <c r="D29" s="565" t="s">
        <v>496</v>
      </c>
      <c r="E29" s="288"/>
      <c r="F29" s="83"/>
      <c r="G29" s="83"/>
      <c r="H29" s="83"/>
      <c r="I29" s="83"/>
      <c r="J29" s="83"/>
      <c r="K29" s="83"/>
      <c r="L29" s="83"/>
      <c r="M29" s="83"/>
      <c r="N29" s="83"/>
      <c r="O29" s="83"/>
    </row>
    <row r="30" spans="1:15" ht="36" customHeight="1" x14ac:dyDescent="0.3">
      <c r="A30" s="83"/>
      <c r="B30" s="561" t="s">
        <v>315</v>
      </c>
      <c r="C30" s="562">
        <f>+'Plant Overview'!E8</f>
        <v>2020</v>
      </c>
      <c r="D30" s="481"/>
      <c r="E30" s="105"/>
      <c r="F30" s="83"/>
      <c r="G30" s="83"/>
      <c r="H30" s="83"/>
      <c r="I30" s="83"/>
      <c r="J30" s="83"/>
      <c r="K30" s="83"/>
      <c r="L30" s="83"/>
      <c r="M30" s="83"/>
      <c r="N30" s="83"/>
      <c r="O30" s="83"/>
    </row>
    <row r="31" spans="1:15" ht="36" customHeight="1" x14ac:dyDescent="0.3">
      <c r="A31" s="83"/>
      <c r="B31" s="563" t="s">
        <v>477</v>
      </c>
      <c r="C31" s="564" t="str">
        <f>+'Plant Overview'!E7</f>
        <v>Western Europe</v>
      </c>
      <c r="D31" s="482"/>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24" t="s">
        <v>593</v>
      </c>
      <c r="C33" s="525" t="str">
        <f>+"Total (M"&amp;C29&amp;")"</f>
        <v>Total (M€)</v>
      </c>
      <c r="D33" s="526" t="str">
        <f>+"Specific ("&amp;C29&amp;"/"&amp;'Plant Overview'!J32&amp;")"</f>
        <v>Specific (€/unit P)</v>
      </c>
      <c r="E33" s="83"/>
      <c r="F33" s="83"/>
      <c r="G33" s="83"/>
      <c r="H33" s="83"/>
      <c r="I33" s="83"/>
      <c r="J33" s="83"/>
      <c r="K33" s="83"/>
      <c r="L33" s="83"/>
      <c r="M33" s="83"/>
      <c r="N33" s="83"/>
      <c r="O33" s="83"/>
    </row>
    <row r="34" spans="1:15" ht="36" customHeight="1" x14ac:dyDescent="0.3">
      <c r="A34" s="83"/>
      <c r="B34" s="563" t="s">
        <v>591</v>
      </c>
      <c r="C34" s="566">
        <f>+H13</f>
        <v>0</v>
      </c>
      <c r="D34" s="566" t="e">
        <f>+C34/'Cash Flow Analysis'!D5*1000</f>
        <v>#DIV/0!</v>
      </c>
      <c r="E34" s="83"/>
      <c r="F34" s="83"/>
      <c r="G34" s="83"/>
      <c r="H34" s="83"/>
      <c r="I34" s="83"/>
      <c r="J34" s="83"/>
      <c r="K34" s="83"/>
      <c r="L34" s="83"/>
      <c r="M34" s="83"/>
      <c r="N34" s="83"/>
      <c r="O34" s="83"/>
    </row>
    <row r="35" spans="1:15" ht="36" customHeight="1" x14ac:dyDescent="0.3">
      <c r="A35" s="83"/>
      <c r="B35" s="563" t="s">
        <v>592</v>
      </c>
      <c r="C35" s="566">
        <f>+H14</f>
        <v>0</v>
      </c>
      <c r="D35" s="567"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785" t="s">
        <v>772</v>
      </c>
      <c r="C37" s="431" t="s">
        <v>595</v>
      </c>
      <c r="D37" s="257"/>
      <c r="E37" s="83"/>
      <c r="F37" s="83"/>
      <c r="G37" s="83"/>
      <c r="H37" s="83"/>
      <c r="I37" s="83"/>
      <c r="J37" s="83"/>
      <c r="K37" s="83"/>
      <c r="L37" s="83"/>
      <c r="M37" s="83"/>
      <c r="N37" s="83"/>
      <c r="O37" s="83"/>
    </row>
    <row r="38" spans="1:15" ht="36" customHeight="1" x14ac:dyDescent="0.3">
      <c r="A38" s="83"/>
      <c r="B38" s="786"/>
      <c r="C38" s="290" t="s">
        <v>596</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controls>
    </mc:Choice>
  </mc:AlternateContent>
  <tableParts count="2">
    <tablePart r:id="rId8"/>
    <tablePart r:id="rId9"/>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1015" t="s">
        <v>575</v>
      </c>
      <c r="C2" s="1015"/>
      <c r="D2" s="105"/>
      <c r="E2" s="105"/>
      <c r="F2" s="105"/>
      <c r="G2" s="105"/>
      <c r="H2" s="105"/>
      <c r="I2" s="105"/>
      <c r="J2" s="83"/>
      <c r="K2" s="83"/>
      <c r="L2" s="83"/>
      <c r="M2" s="83"/>
      <c r="N2" s="83"/>
      <c r="O2" s="83"/>
      <c r="P2" s="83"/>
      <c r="Q2" s="83"/>
      <c r="R2" s="83"/>
      <c r="S2" s="929" t="s">
        <v>644</v>
      </c>
      <c r="T2" s="930"/>
      <c r="U2" s="930"/>
      <c r="V2" s="930"/>
      <c r="W2" s="930"/>
      <c r="X2" s="930"/>
      <c r="Y2" s="931"/>
    </row>
    <row r="3" spans="1:25" ht="21" customHeight="1" x14ac:dyDescent="0.3">
      <c r="A3" s="83"/>
      <c r="B3" s="1015"/>
      <c r="C3" s="1015"/>
      <c r="D3" s="105"/>
      <c r="E3" s="105"/>
      <c r="F3" s="105"/>
      <c r="G3" s="105"/>
      <c r="H3" s="105"/>
      <c r="I3" s="105"/>
      <c r="J3" s="457"/>
      <c r="K3" s="457"/>
      <c r="L3" s="457"/>
      <c r="M3" s="105"/>
      <c r="N3" s="83"/>
      <c r="O3" s="83"/>
      <c r="P3" s="932" t="s">
        <v>267</v>
      </c>
      <c r="Q3" s="933"/>
      <c r="T3" s="83"/>
      <c r="U3" s="83"/>
      <c r="V3" s="83"/>
    </row>
    <row r="4" spans="1:25" ht="21" customHeight="1" x14ac:dyDescent="0.3">
      <c r="A4" s="83"/>
      <c r="B4" s="1004" t="s">
        <v>496</v>
      </c>
      <c r="C4" s="1005"/>
      <c r="D4" s="105"/>
      <c r="E4" s="105"/>
      <c r="F4" s="259" t="s">
        <v>578</v>
      </c>
      <c r="G4" s="260" t="s">
        <v>579</v>
      </c>
      <c r="H4" s="105"/>
      <c r="I4" s="105"/>
      <c r="J4" s="105"/>
      <c r="K4" s="247"/>
      <c r="L4" s="245"/>
      <c r="M4" s="242"/>
      <c r="N4" s="83"/>
      <c r="O4" s="83"/>
      <c r="P4" s="442"/>
      <c r="Q4" s="390" t="s">
        <v>262</v>
      </c>
      <c r="S4" s="127" t="s">
        <v>699</v>
      </c>
      <c r="T4" s="128" t="s">
        <v>360</v>
      </c>
      <c r="U4" s="956" t="s">
        <v>580</v>
      </c>
      <c r="V4" s="957"/>
      <c r="W4" s="957"/>
      <c r="X4" s="957"/>
      <c r="Y4" s="958"/>
    </row>
    <row r="5" spans="1:25" ht="21" customHeight="1" x14ac:dyDescent="0.3">
      <c r="A5" s="83"/>
      <c r="B5" s="1006"/>
      <c r="C5" s="1007"/>
      <c r="D5" s="105"/>
      <c r="E5" s="258" t="s">
        <v>458</v>
      </c>
      <c r="F5" s="257"/>
      <c r="G5" s="257"/>
      <c r="H5" s="105"/>
      <c r="I5" s="105"/>
      <c r="J5" s="105"/>
      <c r="K5" s="242"/>
      <c r="L5" s="245"/>
      <c r="M5" s="242"/>
      <c r="N5" s="83"/>
      <c r="O5" s="83"/>
      <c r="P5" s="513"/>
      <c r="Q5" s="390" t="s">
        <v>263</v>
      </c>
      <c r="S5" s="628"/>
      <c r="T5" s="629"/>
      <c r="U5" s="949"/>
      <c r="V5" s="950"/>
      <c r="W5" s="950"/>
      <c r="X5" s="950"/>
      <c r="Y5" s="951"/>
    </row>
    <row r="6" spans="1:25" ht="21" customHeight="1" x14ac:dyDescent="0.3">
      <c r="A6" s="83"/>
      <c r="B6" s="1004"/>
      <c r="C6" s="1005"/>
      <c r="D6" s="105"/>
      <c r="E6" s="258" t="s">
        <v>577</v>
      </c>
      <c r="F6" s="257"/>
      <c r="G6" s="257"/>
      <c r="H6" s="105"/>
      <c r="I6" s="105"/>
      <c r="J6" s="105"/>
      <c r="K6" s="450"/>
      <c r="L6" s="245"/>
      <c r="M6" s="242"/>
      <c r="N6" s="83"/>
      <c r="O6" s="83"/>
      <c r="P6" s="514"/>
      <c r="Q6" s="467" t="s">
        <v>264</v>
      </c>
      <c r="S6" s="628"/>
      <c r="T6" s="629"/>
      <c r="U6" s="949"/>
      <c r="V6" s="950"/>
      <c r="W6" s="950"/>
      <c r="X6" s="950"/>
      <c r="Y6" s="951"/>
    </row>
    <row r="7" spans="1:25" s="83" customFormat="1" ht="21" customHeight="1" x14ac:dyDescent="0.3">
      <c r="B7" s="1008"/>
      <c r="C7" s="1009"/>
      <c r="D7" s="105"/>
      <c r="E7" s="258" t="s">
        <v>459</v>
      </c>
      <c r="F7" s="257"/>
      <c r="G7" s="257"/>
      <c r="H7" s="105"/>
      <c r="I7" s="105"/>
      <c r="J7" s="105"/>
      <c r="K7" s="242"/>
      <c r="L7" s="245"/>
      <c r="M7" s="242"/>
      <c r="P7" s="515"/>
      <c r="Q7" s="506" t="s">
        <v>268</v>
      </c>
      <c r="S7" s="628"/>
      <c r="T7" s="629"/>
      <c r="U7" s="949"/>
      <c r="V7" s="950"/>
      <c r="W7" s="950"/>
      <c r="X7" s="950"/>
      <c r="Y7" s="951"/>
    </row>
    <row r="8" spans="1:25" s="83" customFormat="1" ht="21" customHeight="1" x14ac:dyDescent="0.3">
      <c r="B8" s="1008"/>
      <c r="C8" s="1009"/>
      <c r="D8" s="105"/>
      <c r="E8" s="1004" t="s">
        <v>742</v>
      </c>
      <c r="F8" s="1010"/>
      <c r="G8" s="1005"/>
      <c r="H8" s="105"/>
      <c r="I8" s="105"/>
      <c r="J8" s="105"/>
      <c r="K8" s="242"/>
      <c r="L8" s="245"/>
      <c r="M8" s="242"/>
      <c r="S8" s="628"/>
      <c r="T8" s="629"/>
      <c r="U8" s="949"/>
      <c r="V8" s="950"/>
      <c r="W8" s="950"/>
      <c r="X8" s="950"/>
      <c r="Y8" s="951"/>
    </row>
    <row r="9" spans="1:25" ht="21" customHeight="1" x14ac:dyDescent="0.3">
      <c r="A9" s="83"/>
      <c r="B9" s="1006"/>
      <c r="C9" s="1007"/>
      <c r="D9" s="454"/>
      <c r="E9" s="1006"/>
      <c r="F9" s="1011"/>
      <c r="G9" s="1007"/>
      <c r="H9" s="105"/>
      <c r="I9" s="105"/>
      <c r="J9" s="242"/>
      <c r="K9" s="242"/>
      <c r="L9" s="242"/>
      <c r="M9" s="242"/>
      <c r="N9" s="83"/>
      <c r="O9" s="83"/>
      <c r="P9" s="276" t="s">
        <v>691</v>
      </c>
      <c r="Q9" s="569">
        <f>+'Cost Conversion'!L2</f>
        <v>1.2</v>
      </c>
      <c r="S9" s="628"/>
      <c r="T9" s="629"/>
      <c r="U9" s="949"/>
      <c r="V9" s="950"/>
      <c r="W9" s="950"/>
      <c r="X9" s="950"/>
      <c r="Y9" s="951"/>
    </row>
    <row r="10" spans="1:25" ht="21" customHeight="1" x14ac:dyDescent="0.3">
      <c r="A10" s="83"/>
      <c r="B10" s="105"/>
      <c r="C10" s="105"/>
      <c r="D10" s="454"/>
      <c r="E10" s="105"/>
      <c r="F10" s="244"/>
      <c r="G10" s="105"/>
      <c r="H10" s="105"/>
      <c r="I10" s="105"/>
      <c r="J10" s="242"/>
      <c r="K10" s="242"/>
      <c r="L10" s="242"/>
      <c r="M10" s="242"/>
      <c r="N10" s="83"/>
      <c r="O10" s="83"/>
      <c r="P10" s="276" t="s">
        <v>771</v>
      </c>
      <c r="Q10" s="782">
        <f>365.25*24</f>
        <v>8766</v>
      </c>
      <c r="T10" s="241"/>
      <c r="U10" s="241"/>
      <c r="V10" s="241"/>
    </row>
    <row r="11" spans="1:25" ht="21" customHeight="1" x14ac:dyDescent="0.3">
      <c r="A11" s="83"/>
      <c r="B11" s="105"/>
      <c r="C11" s="105"/>
      <c r="D11" s="454"/>
      <c r="E11" s="105"/>
      <c r="F11" s="244"/>
      <c r="G11" s="105"/>
      <c r="H11" s="105"/>
      <c r="I11" s="105"/>
      <c r="J11" s="242"/>
      <c r="K11" s="242"/>
      <c r="L11" s="242"/>
      <c r="M11" s="242"/>
      <c r="N11" s="83"/>
      <c r="O11" s="83"/>
      <c r="T11" s="241"/>
      <c r="U11" s="241"/>
      <c r="V11" s="241"/>
    </row>
    <row r="12" spans="1:25" ht="21" customHeight="1" x14ac:dyDescent="0.3">
      <c r="A12" s="83"/>
      <c r="B12" s="105"/>
      <c r="C12" s="83"/>
      <c r="D12" s="454"/>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row>
    <row r="14" spans="1:25" ht="21" customHeight="1" x14ac:dyDescent="0.3">
      <c r="A14" s="83"/>
      <c r="B14" s="1012" t="s">
        <v>449</v>
      </c>
      <c r="C14" s="1013"/>
      <c r="D14" s="1013"/>
      <c r="E14" s="1013"/>
      <c r="F14" s="1013"/>
      <c r="G14" s="1014"/>
      <c r="H14" s="203"/>
      <c r="I14" s="1012" t="s">
        <v>708</v>
      </c>
      <c r="J14" s="1013"/>
      <c r="K14" s="1013"/>
      <c r="L14" s="1013"/>
      <c r="M14" s="1013"/>
      <c r="N14" s="1014"/>
      <c r="O14" s="83"/>
      <c r="P14" s="929" t="s">
        <v>451</v>
      </c>
      <c r="Q14" s="930"/>
      <c r="R14" s="930"/>
      <c r="S14" s="930"/>
      <c r="T14" s="930"/>
      <c r="U14" s="931"/>
      <c r="V14" s="241"/>
      <c r="W14" s="462" t="str">
        <f>+B18</f>
        <v>Total FOM</v>
      </c>
    </row>
    <row r="15" spans="1:25" ht="21" customHeight="1" x14ac:dyDescent="0.3">
      <c r="A15" s="83"/>
      <c r="B15" s="570" t="s">
        <v>678</v>
      </c>
      <c r="C15" s="571" t="s">
        <v>667</v>
      </c>
      <c r="D15" s="570" t="s">
        <v>676</v>
      </c>
      <c r="E15" s="571" t="s">
        <v>576</v>
      </c>
      <c r="F15" s="570" t="s">
        <v>677</v>
      </c>
      <c r="G15" s="660" t="s">
        <v>717</v>
      </c>
      <c r="H15" s="455"/>
      <c r="I15" s="570" t="s">
        <v>678</v>
      </c>
      <c r="J15" s="571" t="s">
        <v>667</v>
      </c>
      <c r="K15" s="570" t="s">
        <v>676</v>
      </c>
      <c r="L15" s="571" t="s">
        <v>576</v>
      </c>
      <c r="M15" s="570" t="s">
        <v>677</v>
      </c>
      <c r="N15" s="572" t="s">
        <v>718</v>
      </c>
      <c r="O15" s="456"/>
      <c r="P15" s="573" t="s">
        <v>678</v>
      </c>
      <c r="Q15" s="574" t="s">
        <v>667</v>
      </c>
      <c r="R15" s="575" t="s">
        <v>676</v>
      </c>
      <c r="S15" s="574" t="s">
        <v>576</v>
      </c>
      <c r="T15" s="575" t="s">
        <v>677</v>
      </c>
      <c r="U15" s="576" t="s">
        <v>718</v>
      </c>
      <c r="V15" s="241"/>
      <c r="W15" s="462" t="str">
        <f>+I16</f>
        <v>Fuel 1</v>
      </c>
    </row>
    <row r="16" spans="1:25" ht="21" customHeight="1" x14ac:dyDescent="0.3">
      <c r="A16" s="83"/>
      <c r="B16" s="507" t="s">
        <v>663</v>
      </c>
      <c r="C16" s="667"/>
      <c r="D16" s="129"/>
      <c r="E16" s="667"/>
      <c r="F16" s="254"/>
      <c r="G16" s="166">
        <f t="shared" ref="G16" si="0">+C16*E16</f>
        <v>0</v>
      </c>
      <c r="H16" s="203"/>
      <c r="I16" s="97" t="str">
        <f>+'Plant Overview'!H71</f>
        <v>Fuel 1</v>
      </c>
      <c r="J16" s="266"/>
      <c r="K16" s="129"/>
      <c r="L16" s="667"/>
      <c r="M16" s="97"/>
      <c r="N16" s="511">
        <f>+J16*L16/10^6</f>
        <v>0</v>
      </c>
      <c r="O16" s="83"/>
      <c r="P16" s="507" t="s">
        <v>670</v>
      </c>
      <c r="Q16" s="266"/>
      <c r="R16" s="507"/>
      <c r="S16" s="667"/>
      <c r="T16" s="507"/>
      <c r="U16" s="166">
        <f>+Q16*S16/10^6</f>
        <v>0</v>
      </c>
      <c r="V16" s="241"/>
      <c r="W16" s="462" t="str">
        <f>+I17</f>
        <v>Fuel 2</v>
      </c>
    </row>
    <row r="17" spans="1:23" ht="21" customHeight="1" x14ac:dyDescent="0.35">
      <c r="A17" s="83"/>
      <c r="B17" s="712" t="s">
        <v>664</v>
      </c>
      <c r="C17" s="667"/>
      <c r="D17" s="129"/>
      <c r="E17" s="667"/>
      <c r="F17" s="254"/>
      <c r="G17" s="166">
        <f>+C17*E17</f>
        <v>0</v>
      </c>
      <c r="H17" s="248"/>
      <c r="I17" s="433" t="str">
        <f>+'Plant Overview'!H72</f>
        <v>Fuel 2</v>
      </c>
      <c r="J17" s="266"/>
      <c r="K17" s="129"/>
      <c r="L17" s="667"/>
      <c r="M17" s="433"/>
      <c r="N17" s="510">
        <f>+J17*L17/10^6</f>
        <v>0</v>
      </c>
      <c r="O17" s="83"/>
      <c r="P17" s="507" t="s">
        <v>663</v>
      </c>
      <c r="Q17" s="266"/>
      <c r="R17" s="507"/>
      <c r="S17" s="667"/>
      <c r="T17" s="507"/>
      <c r="U17" s="166">
        <f>+Q17*S17/10^6</f>
        <v>0</v>
      </c>
      <c r="V17" s="241"/>
      <c r="W17" s="462" t="str">
        <f>+P18</f>
        <v>Total VOM (exl. Fuel &amp; CO2 tax)</v>
      </c>
    </row>
    <row r="18" spans="1:23" ht="21" customHeight="1" x14ac:dyDescent="0.35">
      <c r="A18" s="83"/>
      <c r="B18" s="1001" t="s">
        <v>450</v>
      </c>
      <c r="C18" s="1002"/>
      <c r="D18" s="1002"/>
      <c r="E18" s="1002"/>
      <c r="F18" s="1003"/>
      <c r="G18" s="510">
        <f>SUM(Tabla60[cost/year])</f>
        <v>0</v>
      </c>
      <c r="H18" s="248"/>
      <c r="I18" s="105"/>
      <c r="J18" s="83"/>
      <c r="K18" s="83"/>
      <c r="L18" s="241"/>
      <c r="M18" s="241"/>
      <c r="N18" s="241"/>
      <c r="O18" s="241"/>
      <c r="P18" s="1001" t="s">
        <v>571</v>
      </c>
      <c r="Q18" s="1002"/>
      <c r="R18" s="1002"/>
      <c r="S18" s="1002"/>
      <c r="T18" s="1003"/>
      <c r="U18" s="512">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1001" t="s">
        <v>494</v>
      </c>
      <c r="Q19" s="1002"/>
      <c r="R19" s="1002"/>
      <c r="S19" s="1002"/>
      <c r="T19" s="1002"/>
      <c r="U19" s="510">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7"/>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40" zoomScaleNormal="40" workbookViewId="0">
      <selection activeCell="B1" sqref="B1:E1"/>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1037" t="s">
        <v>584</v>
      </c>
      <c r="C1" s="1038"/>
      <c r="D1" s="1038"/>
      <c r="E1" s="1039"/>
      <c r="G1" s="1044" t="s">
        <v>495</v>
      </c>
      <c r="H1" s="1045"/>
      <c r="I1" s="1044" t="s">
        <v>584</v>
      </c>
      <c r="J1" s="1045"/>
    </row>
    <row r="2" spans="1:70" ht="20.399999999999999" customHeight="1" x14ac:dyDescent="0.3">
      <c r="G2" s="669"/>
      <c r="H2" s="670"/>
      <c r="I2" s="673"/>
      <c r="J2" s="674"/>
      <c r="S2" s="246"/>
      <c r="T2" s="246"/>
      <c r="V2" s="246"/>
      <c r="BR2" t="s">
        <v>724</v>
      </c>
    </row>
    <row r="3" spans="1:70" ht="20.399999999999999" customHeight="1" x14ac:dyDescent="0.3">
      <c r="A3" s="83"/>
      <c r="B3" s="926" t="s">
        <v>728</v>
      </c>
      <c r="C3" s="927"/>
      <c r="D3" s="927"/>
      <c r="E3" s="1040"/>
      <c r="F3" s="83"/>
      <c r="G3" s="671"/>
      <c r="H3" s="672"/>
      <c r="I3" s="675"/>
      <c r="J3" s="676"/>
      <c r="K3" s="83"/>
      <c r="S3" s="176"/>
      <c r="T3" s="176"/>
      <c r="U3" s="246"/>
      <c r="V3" s="176"/>
      <c r="W3" s="83"/>
      <c r="X3" s="83"/>
      <c r="Y3" s="83"/>
      <c r="Z3" s="83"/>
      <c r="AA3" s="83"/>
      <c r="AB3" s="83"/>
      <c r="AC3" s="83"/>
      <c r="AD3" s="83"/>
      <c r="AE3" s="83"/>
      <c r="AF3" s="83"/>
      <c r="AG3" s="83"/>
      <c r="AH3" s="83"/>
      <c r="AI3" s="83"/>
      <c r="AJ3" s="83"/>
      <c r="AK3" s="83"/>
      <c r="BR3" t="s">
        <v>665</v>
      </c>
    </row>
    <row r="4" spans="1:70" ht="20.399999999999999" customHeight="1" x14ac:dyDescent="0.3">
      <c r="A4" s="83"/>
      <c r="B4" s="1031" t="s">
        <v>572</v>
      </c>
      <c r="C4" s="1031"/>
      <c r="D4" s="686">
        <f>+'Plant Overview'!I71+'Plant Overview'!I72</f>
        <v>0</v>
      </c>
      <c r="E4" s="527" t="str">
        <f>+'Plant Overview'!J71</f>
        <v>unit R</v>
      </c>
      <c r="F4" s="83"/>
      <c r="K4" s="83"/>
      <c r="U4" s="176"/>
      <c r="V4" s="176"/>
      <c r="W4" s="83"/>
      <c r="X4" s="83"/>
      <c r="Y4" s="83"/>
      <c r="Z4" s="83"/>
      <c r="AA4" s="83"/>
      <c r="AB4" s="83"/>
      <c r="AC4" s="83"/>
      <c r="AD4" s="83"/>
      <c r="AE4" s="83"/>
      <c r="AF4" s="83"/>
      <c r="AG4" s="83"/>
      <c r="AH4" s="83"/>
      <c r="AI4" s="83"/>
      <c r="AJ4" s="83"/>
      <c r="AK4" s="83"/>
      <c r="BR4" t="s">
        <v>723</v>
      </c>
    </row>
    <row r="5" spans="1:70" ht="20.399999999999999" customHeight="1" x14ac:dyDescent="0.3">
      <c r="A5" s="83"/>
      <c r="B5" s="1031" t="s">
        <v>668</v>
      </c>
      <c r="C5" s="1031"/>
      <c r="D5" s="686">
        <f>+'Plant Overview'!I32</f>
        <v>0</v>
      </c>
      <c r="E5" s="527" t="str">
        <f>+'Plant Overview'!J32</f>
        <v>unit P</v>
      </c>
      <c r="F5" s="83"/>
      <c r="G5" s="1041" t="s">
        <v>732</v>
      </c>
      <c r="H5" s="1041"/>
      <c r="I5" s="933" t="s">
        <v>665</v>
      </c>
      <c r="J5" s="934"/>
      <c r="K5" s="83"/>
      <c r="S5" s="176"/>
      <c r="T5" s="176"/>
      <c r="U5" s="176"/>
      <c r="V5" s="176"/>
      <c r="W5" s="83"/>
      <c r="X5" s="83"/>
      <c r="Y5" s="83"/>
      <c r="Z5" s="83"/>
      <c r="AA5" s="83"/>
      <c r="AB5" s="83"/>
      <c r="AC5" s="83"/>
      <c r="AD5" s="83"/>
      <c r="AE5" s="83"/>
      <c r="AF5" s="83"/>
      <c r="AG5" s="83"/>
      <c r="AH5" s="83"/>
      <c r="AI5" s="83"/>
      <c r="AJ5" s="83"/>
      <c r="AK5" s="83"/>
      <c r="BR5" t="s">
        <v>722</v>
      </c>
    </row>
    <row r="6" spans="1:70" ht="20.399999999999999" customHeight="1" x14ac:dyDescent="0.3">
      <c r="A6" s="83"/>
      <c r="B6" s="1031" t="s">
        <v>669</v>
      </c>
      <c r="C6" s="1031"/>
      <c r="D6" s="686" t="e">
        <f>D5/D4</f>
        <v>#DIV/0!</v>
      </c>
      <c r="E6" s="86" t="str">
        <f>+E5&amp;" / "&amp;E4</f>
        <v>unit P / unit R</v>
      </c>
      <c r="F6" s="83"/>
      <c r="G6" s="1029" t="s">
        <v>665</v>
      </c>
      <c r="H6" s="1030"/>
      <c r="I6" s="684">
        <f>+IF(I5="LCOP",D20,"-")</f>
        <v>1.5</v>
      </c>
      <c r="J6" s="678"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20.399999999999999" customHeight="1" x14ac:dyDescent="0.3">
      <c r="A7" s="83"/>
      <c r="B7" s="1031" t="s">
        <v>591</v>
      </c>
      <c r="C7" s="1031"/>
      <c r="D7" s="687">
        <f>+'Plant CAPEX'!H13</f>
        <v>0</v>
      </c>
      <c r="E7" s="688" t="str">
        <f>+J7</f>
        <v>M€</v>
      </c>
      <c r="F7" s="83"/>
      <c r="G7" s="1029" t="s">
        <v>722</v>
      </c>
      <c r="H7" s="1030"/>
      <c r="I7" s="679"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20.399999999999999" customHeight="1" x14ac:dyDescent="0.3">
      <c r="A8" s="83"/>
      <c r="B8" s="1032" t="s">
        <v>458</v>
      </c>
      <c r="C8" s="1032"/>
      <c r="D8" s="686">
        <f>+'Plant OPEX'!G18</f>
        <v>0</v>
      </c>
      <c r="E8" s="688" t="str">
        <f>+"M"&amp;'Plant Overview'!$E$9&amp;"/y"</f>
        <v>M€/y</v>
      </c>
      <c r="F8" s="83"/>
      <c r="G8" s="1029" t="s">
        <v>723</v>
      </c>
      <c r="H8" s="1030"/>
      <c r="I8" s="682" t="str">
        <f>+IF(I5="IRR",D21,"-")</f>
        <v>-</v>
      </c>
      <c r="J8" s="683" t="str">
        <f>+E21</f>
        <v>%</v>
      </c>
      <c r="K8" s="83"/>
      <c r="S8" s="176"/>
      <c r="T8" s="176"/>
      <c r="U8" s="176"/>
      <c r="V8" s="176"/>
      <c r="W8" s="83"/>
      <c r="X8" s="83"/>
      <c r="Y8" s="83"/>
      <c r="Z8" s="83"/>
      <c r="AA8" s="83"/>
      <c r="AB8" s="83"/>
      <c r="AC8" s="83"/>
      <c r="AD8" s="83"/>
      <c r="AE8" s="83"/>
      <c r="AF8" s="83"/>
      <c r="AG8" s="83"/>
      <c r="AH8" s="83"/>
      <c r="AI8" s="83"/>
      <c r="AJ8" s="83"/>
      <c r="AK8" s="83"/>
    </row>
    <row r="9" spans="1:70" ht="20.399999999999999" customHeight="1" x14ac:dyDescent="0.3">
      <c r="A9" s="83"/>
      <c r="B9" s="1031" t="str">
        <f>+'Plant OPEX'!I16</f>
        <v>Fuel 1</v>
      </c>
      <c r="C9" s="1031"/>
      <c r="D9" s="686">
        <f>+'Plant OPEX'!N16</f>
        <v>0</v>
      </c>
      <c r="E9" s="688" t="str">
        <f>+"M"&amp;'Plant Overview'!$E$9&amp;"/y"</f>
        <v>M€/y</v>
      </c>
      <c r="F9" s="83"/>
      <c r="G9" s="1035" t="s">
        <v>729</v>
      </c>
      <c r="H9" s="1036"/>
      <c r="I9" s="377" t="e" cm="1">
        <f t="array" ref="I9">+MATCH(TRUE,G38:AT38&gt;0,0)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20.399999999999999" customHeight="1" x14ac:dyDescent="0.3">
      <c r="A10" s="83"/>
      <c r="B10" s="1031" t="str">
        <f>+'Plant OPEX'!I17</f>
        <v>Fuel 2</v>
      </c>
      <c r="C10" s="1031"/>
      <c r="D10" s="686">
        <f>+'Plant OPEX'!N17</f>
        <v>0</v>
      </c>
      <c r="E10" s="688" t="str">
        <f>+"M"&amp;'Plant Overview'!$E$9&amp;"/y"</f>
        <v>M€/y</v>
      </c>
      <c r="F10" s="83"/>
      <c r="G10" s="1035" t="s">
        <v>730</v>
      </c>
      <c r="H10" s="1036"/>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20.399999999999999" customHeight="1" x14ac:dyDescent="0.3">
      <c r="A11" s="83"/>
      <c r="B11" s="1031" t="s">
        <v>459</v>
      </c>
      <c r="C11" s="1031"/>
      <c r="D11" s="686">
        <f>+'Plant OPEX'!U18</f>
        <v>0</v>
      </c>
      <c r="E11" s="688" t="str">
        <f>+"M"&amp;'Plant Overview'!$E$9&amp;"/y"</f>
        <v>M€/y</v>
      </c>
      <c r="F11" s="83"/>
      <c r="G11" s="1033" t="s">
        <v>685</v>
      </c>
      <c r="H11" s="1034"/>
      <c r="I11" s="540"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20.399999999999999" customHeight="1" x14ac:dyDescent="0.3">
      <c r="A13" s="83"/>
      <c r="B13" s="1026" t="s">
        <v>636</v>
      </c>
      <c r="C13" s="1027"/>
      <c r="D13" s="1027"/>
      <c r="E13" s="1028"/>
      <c r="F13" s="83"/>
      <c r="G13" s="1026" t="s">
        <v>731</v>
      </c>
      <c r="H13" s="1027"/>
      <c r="I13" s="1027"/>
      <c r="J13" s="1028"/>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20.399999999999999" customHeight="1" x14ac:dyDescent="0.3">
      <c r="A14" s="83"/>
      <c r="B14" s="1025" t="s">
        <v>460</v>
      </c>
      <c r="C14" s="1025"/>
      <c r="D14" s="596">
        <v>0.65</v>
      </c>
      <c r="E14" s="86" t="s">
        <v>354</v>
      </c>
      <c r="F14" s="83"/>
      <c r="G14" s="681"/>
      <c r="H14" s="685" t="str">
        <f>+'Plant Overview'!E6</f>
        <v>Plant A</v>
      </c>
      <c r="I14" s="539" t="s">
        <v>359</v>
      </c>
      <c r="J14" s="390"/>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20.399999999999999" customHeight="1" x14ac:dyDescent="0.3">
      <c r="A15" s="83"/>
      <c r="B15" s="1025" t="s">
        <v>461</v>
      </c>
      <c r="C15" s="1025"/>
      <c r="D15" s="596">
        <v>0.85</v>
      </c>
      <c r="E15" s="86" t="s">
        <v>354</v>
      </c>
      <c r="F15" s="83"/>
      <c r="G15" s="689" t="s">
        <v>688</v>
      </c>
      <c r="H15" s="680" t="e">
        <f>+('Plant Overview'!I32/'Plant Overview'!I52)^-1</f>
        <v>#DIV/0!</v>
      </c>
      <c r="I15" s="600"/>
      <c r="J15" s="529"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20.399999999999999" customHeight="1" x14ac:dyDescent="0.3">
      <c r="A16" s="83"/>
      <c r="B16" s="1024" t="s">
        <v>635</v>
      </c>
      <c r="C16" s="1024"/>
      <c r="D16" s="597">
        <v>25</v>
      </c>
      <c r="E16" s="86" t="s">
        <v>452</v>
      </c>
      <c r="F16" s="83"/>
      <c r="G16" s="689" t="str">
        <f>+G6</f>
        <v>LCOP</v>
      </c>
      <c r="H16" s="528" t="e">
        <f>+IF(I5="LCOP",SUM(H17:H22),"-")</f>
        <v>#DIV/0!</v>
      </c>
      <c r="I16" s="600"/>
      <c r="J16" s="529"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20.399999999999999" customHeight="1" x14ac:dyDescent="0.3">
      <c r="A17" s="83"/>
      <c r="B17" s="1024" t="s">
        <v>439</v>
      </c>
      <c r="C17" s="1024"/>
      <c r="D17" s="598">
        <v>4</v>
      </c>
      <c r="E17" s="86" t="s">
        <v>452</v>
      </c>
      <c r="F17" s="83"/>
      <c r="G17" s="206" t="str">
        <f>+B29</f>
        <v>Capital</v>
      </c>
      <c r="H17" s="477" t="e">
        <f>+IF(I5="LCOP",SUMPRODUCT(C29:AT29,C36:AT36)/SUMPRODUCT(C27:AT27,C36:AT36)*I6,"-")</f>
        <v>#DIV/0!</v>
      </c>
      <c r="I17" s="601"/>
      <c r="J17" s="690"/>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20.399999999999999" customHeight="1" x14ac:dyDescent="0.3">
      <c r="A18" s="83"/>
      <c r="F18" s="83"/>
      <c r="G18" s="192" t="str">
        <f>+B30</f>
        <v>FOM</v>
      </c>
      <c r="H18" s="478" t="e">
        <f>+IF(I5="LCOP",SUMPRODUCT(C30:AT30,C36:AT36)/SUMPRODUCT(C27:AT27,C36:AT36)*I6,"-")</f>
        <v>#DIV/0!</v>
      </c>
      <c r="I18" s="602"/>
      <c r="J18" s="69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1026" t="s">
        <v>727</v>
      </c>
      <c r="C19" s="1027"/>
      <c r="D19" s="1027"/>
      <c r="E19" s="1028"/>
      <c r="F19" s="83"/>
      <c r="G19" s="192" t="str">
        <f>+B34</f>
        <v>VOM</v>
      </c>
      <c r="H19" s="478" t="e">
        <f>+IF(I5="LCOP",SUMPRODUCT(C34:AJ34,C36:AJ36)/SUMPRODUCT(C27:AJ27,C36:AJ36)*I6,"-")</f>
        <v>#DIV/0!</v>
      </c>
      <c r="I19" s="602"/>
      <c r="J19" s="691"/>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1023" t="s">
        <v>725</v>
      </c>
      <c r="C20" s="1023"/>
      <c r="D20" s="86">
        <v>1.5</v>
      </c>
      <c r="E20" s="86" t="str">
        <f>+J6</f>
        <v>€/unit P</v>
      </c>
      <c r="F20" s="83"/>
      <c r="G20" s="192" t="str">
        <f>+B33</f>
        <v>CO2 tax</v>
      </c>
      <c r="H20" s="478" t="e">
        <f>+IF(I5="LCOP",SUMPRODUCT(C33:AT33,C37:AT37)/SUMPRODUCT(C27:AT27,C37:AT37)*I6,"-")</f>
        <v>#DIV/0!</v>
      </c>
      <c r="I20" s="602"/>
      <c r="J20" s="691"/>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1025" t="s">
        <v>440</v>
      </c>
      <c r="C21" s="1025"/>
      <c r="D21" s="599">
        <v>0.08</v>
      </c>
      <c r="E21" s="668" t="s">
        <v>457</v>
      </c>
      <c r="F21" s="83"/>
      <c r="G21" s="192" t="str">
        <f>+B31</f>
        <v>Fuel 1</v>
      </c>
      <c r="H21" s="478" t="e">
        <f>+IF(I5="LCOP",SUMPRODUCT(C31:AJ31,C37:AJ37)/SUMPRODUCT(C27:AJ27,C37:AJ37)*I6,"-")</f>
        <v>#DIV/0!</v>
      </c>
      <c r="I21" s="602"/>
      <c r="J21" s="691"/>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1020" t="s">
        <v>726</v>
      </c>
      <c r="C22" s="1021"/>
      <c r="D22" s="86">
        <f>HLOOKUP(D16,C24:AT39,16)</f>
        <v>0</v>
      </c>
      <c r="E22" s="86" t="str">
        <f>+E7</f>
        <v>M€</v>
      </c>
      <c r="F22" s="83"/>
      <c r="G22" s="193" t="str">
        <f>+B32</f>
        <v>Fuel 2</v>
      </c>
      <c r="H22" s="693" t="e">
        <f>+IF(I5="LCOP",SUMPRODUCT(C32:AT32,C37:AT37)/SUMPRODUCT(C27:AT27,C37:AT37)*I6,"-")</f>
        <v>#DIV/0!</v>
      </c>
      <c r="I22" s="694"/>
      <c r="J22" s="692"/>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399999999999999" customHeight="1" x14ac:dyDescent="0.3">
      <c r="A24" s="83"/>
      <c r="B24" s="559" t="s">
        <v>315</v>
      </c>
      <c r="C24" s="617">
        <v>-4</v>
      </c>
      <c r="D24" s="618">
        <v>-3</v>
      </c>
      <c r="E24" s="618">
        <v>-2</v>
      </c>
      <c r="F24" s="619">
        <v>-1</v>
      </c>
      <c r="G24" s="618">
        <v>1</v>
      </c>
      <c r="H24" s="618">
        <v>2</v>
      </c>
      <c r="I24" s="618">
        <v>3</v>
      </c>
      <c r="J24" s="618">
        <v>4</v>
      </c>
      <c r="K24" s="618">
        <v>5</v>
      </c>
      <c r="L24" s="618">
        <v>6</v>
      </c>
      <c r="M24" s="618">
        <v>7</v>
      </c>
      <c r="N24" s="618">
        <v>8</v>
      </c>
      <c r="O24" s="618">
        <v>9</v>
      </c>
      <c r="P24" s="618">
        <v>10</v>
      </c>
      <c r="Q24" s="618">
        <v>11</v>
      </c>
      <c r="R24" s="618">
        <v>12</v>
      </c>
      <c r="S24" s="618">
        <v>13</v>
      </c>
      <c r="T24" s="618">
        <v>14</v>
      </c>
      <c r="U24" s="618">
        <v>15</v>
      </c>
      <c r="V24" s="618">
        <v>16</v>
      </c>
      <c r="W24" s="618">
        <v>17</v>
      </c>
      <c r="X24" s="618">
        <v>18</v>
      </c>
      <c r="Y24" s="618">
        <v>19</v>
      </c>
      <c r="Z24" s="618">
        <v>20</v>
      </c>
      <c r="AA24" s="618">
        <v>21</v>
      </c>
      <c r="AB24" s="618">
        <v>22</v>
      </c>
      <c r="AC24" s="618">
        <v>23</v>
      </c>
      <c r="AD24" s="618">
        <v>24</v>
      </c>
      <c r="AE24" s="618">
        <v>25</v>
      </c>
      <c r="AF24" s="618">
        <v>26</v>
      </c>
      <c r="AG24" s="618">
        <v>27</v>
      </c>
      <c r="AH24" s="618">
        <v>28</v>
      </c>
      <c r="AI24" s="618">
        <v>29</v>
      </c>
      <c r="AJ24" s="618">
        <v>30</v>
      </c>
      <c r="AK24" s="618">
        <v>31</v>
      </c>
      <c r="AL24" s="618">
        <v>32</v>
      </c>
      <c r="AM24" s="618">
        <v>33</v>
      </c>
      <c r="AN24" s="618">
        <v>34</v>
      </c>
      <c r="AO24" s="618">
        <v>35</v>
      </c>
      <c r="AP24" s="618">
        <v>36</v>
      </c>
      <c r="AQ24" s="618">
        <v>37</v>
      </c>
      <c r="AR24" s="618">
        <v>38</v>
      </c>
      <c r="AS24" s="618">
        <v>39</v>
      </c>
      <c r="AT24" s="619">
        <v>40</v>
      </c>
      <c r="AU24" s="475"/>
      <c r="AV24" s="475"/>
    </row>
    <row r="25" spans="1:48" ht="20.399999999999999" customHeight="1" x14ac:dyDescent="0.3">
      <c r="A25" s="83"/>
      <c r="B25" s="614" t="s">
        <v>443</v>
      </c>
      <c r="C25" s="615"/>
      <c r="D25" s="615"/>
      <c r="E25" s="615"/>
      <c r="F25" s="615"/>
      <c r="G25" s="664">
        <f>+D14</f>
        <v>0.65</v>
      </c>
      <c r="H25" s="665">
        <f t="shared" ref="H25:AT25" si="0">+IF(H24&lt;=$D$16,$D$15,0)</f>
        <v>0.85</v>
      </c>
      <c r="I25" s="665">
        <f t="shared" si="0"/>
        <v>0.85</v>
      </c>
      <c r="J25" s="665">
        <f t="shared" si="0"/>
        <v>0.85</v>
      </c>
      <c r="K25" s="665">
        <f t="shared" si="0"/>
        <v>0.85</v>
      </c>
      <c r="L25" s="665">
        <f t="shared" si="0"/>
        <v>0.85</v>
      </c>
      <c r="M25" s="665">
        <f t="shared" si="0"/>
        <v>0.85</v>
      </c>
      <c r="N25" s="665">
        <f t="shared" si="0"/>
        <v>0.85</v>
      </c>
      <c r="O25" s="665">
        <f t="shared" si="0"/>
        <v>0.85</v>
      </c>
      <c r="P25" s="665">
        <f t="shared" si="0"/>
        <v>0.85</v>
      </c>
      <c r="Q25" s="665">
        <f t="shared" si="0"/>
        <v>0.85</v>
      </c>
      <c r="R25" s="665">
        <f t="shared" si="0"/>
        <v>0.85</v>
      </c>
      <c r="S25" s="665">
        <f t="shared" si="0"/>
        <v>0.85</v>
      </c>
      <c r="T25" s="665">
        <f t="shared" si="0"/>
        <v>0.85</v>
      </c>
      <c r="U25" s="665">
        <f t="shared" si="0"/>
        <v>0.85</v>
      </c>
      <c r="V25" s="665">
        <f t="shared" si="0"/>
        <v>0.85</v>
      </c>
      <c r="W25" s="665">
        <f t="shared" si="0"/>
        <v>0.85</v>
      </c>
      <c r="X25" s="665">
        <f t="shared" si="0"/>
        <v>0.85</v>
      </c>
      <c r="Y25" s="665">
        <f t="shared" si="0"/>
        <v>0.85</v>
      </c>
      <c r="Z25" s="665">
        <f t="shared" si="0"/>
        <v>0.85</v>
      </c>
      <c r="AA25" s="665">
        <f t="shared" si="0"/>
        <v>0.85</v>
      </c>
      <c r="AB25" s="665">
        <f t="shared" si="0"/>
        <v>0.85</v>
      </c>
      <c r="AC25" s="665">
        <f t="shared" si="0"/>
        <v>0.85</v>
      </c>
      <c r="AD25" s="665">
        <f t="shared" si="0"/>
        <v>0.85</v>
      </c>
      <c r="AE25" s="665">
        <f t="shared" si="0"/>
        <v>0.85</v>
      </c>
      <c r="AF25" s="665">
        <f t="shared" si="0"/>
        <v>0</v>
      </c>
      <c r="AG25" s="665">
        <f t="shared" si="0"/>
        <v>0</v>
      </c>
      <c r="AH25" s="665">
        <f t="shared" si="0"/>
        <v>0</v>
      </c>
      <c r="AI25" s="665">
        <f t="shared" si="0"/>
        <v>0</v>
      </c>
      <c r="AJ25" s="665">
        <f t="shared" si="0"/>
        <v>0</v>
      </c>
      <c r="AK25" s="665">
        <f t="shared" si="0"/>
        <v>0</v>
      </c>
      <c r="AL25" s="665">
        <f t="shared" si="0"/>
        <v>0</v>
      </c>
      <c r="AM25" s="665">
        <f t="shared" si="0"/>
        <v>0</v>
      </c>
      <c r="AN25" s="665">
        <f t="shared" si="0"/>
        <v>0</v>
      </c>
      <c r="AO25" s="665">
        <f t="shared" si="0"/>
        <v>0</v>
      </c>
      <c r="AP25" s="665">
        <f t="shared" si="0"/>
        <v>0</v>
      </c>
      <c r="AQ25" s="665">
        <f t="shared" si="0"/>
        <v>0</v>
      </c>
      <c r="AR25" s="665">
        <f t="shared" si="0"/>
        <v>0</v>
      </c>
      <c r="AS25" s="665">
        <f t="shared" si="0"/>
        <v>0</v>
      </c>
      <c r="AT25" s="666">
        <f t="shared" si="0"/>
        <v>0</v>
      </c>
      <c r="AV25" s="92"/>
    </row>
    <row r="26" spans="1:48" ht="20.399999999999999" customHeight="1" x14ac:dyDescent="0.3">
      <c r="A26" s="83"/>
      <c r="B26" s="677" t="s">
        <v>442</v>
      </c>
      <c r="C26" s="328"/>
      <c r="D26" s="328"/>
      <c r="E26" s="328"/>
      <c r="F26" s="328"/>
      <c r="G26" s="603"/>
      <c r="H26" s="328"/>
      <c r="I26" s="328"/>
      <c r="J26" s="328"/>
      <c r="K26" s="328"/>
      <c r="L26" s="328"/>
      <c r="M26" s="328"/>
      <c r="N26" s="328"/>
      <c r="O26" s="328"/>
      <c r="P26" s="328"/>
      <c r="Q26" s="328"/>
      <c r="R26" s="328"/>
      <c r="S26" s="328"/>
      <c r="T26" s="328"/>
      <c r="U26" s="328"/>
      <c r="V26" s="328"/>
      <c r="W26" s="328"/>
      <c r="X26" s="328"/>
      <c r="Y26" s="328"/>
      <c r="Z26" s="328"/>
      <c r="AA26" s="328"/>
      <c r="AB26" s="328"/>
      <c r="AC26" s="328"/>
      <c r="AD26" s="328"/>
      <c r="AE26" s="328"/>
      <c r="AF26" s="328"/>
      <c r="AG26" s="328"/>
      <c r="AH26" s="328"/>
      <c r="AI26" s="328"/>
      <c r="AJ26" s="328"/>
      <c r="AK26" s="328"/>
      <c r="AL26" s="328"/>
      <c r="AM26" s="328"/>
      <c r="AN26" s="328"/>
      <c r="AO26" s="328"/>
      <c r="AP26" s="328"/>
      <c r="AQ26" s="328"/>
      <c r="AR26" s="328"/>
      <c r="AS26" s="328"/>
      <c r="AT26" s="124"/>
      <c r="AV26" s="92"/>
    </row>
    <row r="27" spans="1:48" ht="20.399999999999999" customHeight="1" x14ac:dyDescent="0.3">
      <c r="A27" s="83"/>
      <c r="B27" s="613" t="s">
        <v>666</v>
      </c>
      <c r="C27" s="557"/>
      <c r="D27" s="557"/>
      <c r="E27" s="557"/>
      <c r="F27" s="557"/>
      <c r="G27" s="661">
        <f>365.25*24*G25*$D$20*3600*'Plant Overview'!$I$32/10^6</f>
        <v>0</v>
      </c>
      <c r="H27" s="662">
        <f>365.25*24*H25*$D$20*3600*'Plant Overview'!$I$32/10^6</f>
        <v>0</v>
      </c>
      <c r="I27" s="662">
        <f>365.25*24*I25*$D$20*3600*'Plant Overview'!$I$32/10^6</f>
        <v>0</v>
      </c>
      <c r="J27" s="662">
        <f>365.25*24*J25*$D$20*3600*'Plant Overview'!$I$32/10^6</f>
        <v>0</v>
      </c>
      <c r="K27" s="662">
        <f>365.25*24*K25*$D$20*3600*'Plant Overview'!$I$32/10^6</f>
        <v>0</v>
      </c>
      <c r="L27" s="662">
        <f>365.25*24*L25*$D$20*3600*'Plant Overview'!$I$32/10^6</f>
        <v>0</v>
      </c>
      <c r="M27" s="662">
        <f>365.25*24*M25*$D$20*3600*'Plant Overview'!$I$32/10^6</f>
        <v>0</v>
      </c>
      <c r="N27" s="662">
        <f>365.25*24*N25*$D$20*3600*'Plant Overview'!$I$32/10^6</f>
        <v>0</v>
      </c>
      <c r="O27" s="662">
        <f>365.25*24*O25*$D$20*3600*'Plant Overview'!$I$32/10^6</f>
        <v>0</v>
      </c>
      <c r="P27" s="662">
        <f>365.25*24*P25*$D$20*3600*'Plant Overview'!$I$32/10^6</f>
        <v>0</v>
      </c>
      <c r="Q27" s="662">
        <f>365.25*24*Q25*$D$20*3600*'Plant Overview'!$I$32/10^6</f>
        <v>0</v>
      </c>
      <c r="R27" s="662">
        <f>365.25*24*R25*$D$20*3600*'Plant Overview'!$I$32/10^6</f>
        <v>0</v>
      </c>
      <c r="S27" s="662">
        <f>365.25*24*S25*$D$20*3600*'Plant Overview'!$I$32/10^6</f>
        <v>0</v>
      </c>
      <c r="T27" s="662">
        <f>365.25*24*T25*$D$20*3600*'Plant Overview'!$I$32/10^6</f>
        <v>0</v>
      </c>
      <c r="U27" s="662">
        <f>365.25*24*U25*$D$20*3600*'Plant Overview'!$I$32/10^6</f>
        <v>0</v>
      </c>
      <c r="V27" s="662">
        <f>365.25*24*V25*$D$20*3600*'Plant Overview'!$I$32/10^6</f>
        <v>0</v>
      </c>
      <c r="W27" s="662">
        <f>365.25*24*W25*$D$20*3600*'Plant Overview'!$I$32/10^6</f>
        <v>0</v>
      </c>
      <c r="X27" s="662">
        <f>365.25*24*X25*$D$20*3600*'Plant Overview'!$I$32/10^6</f>
        <v>0</v>
      </c>
      <c r="Y27" s="662">
        <f>365.25*24*Y25*$D$20*3600*'Plant Overview'!$I$32/10^6</f>
        <v>0</v>
      </c>
      <c r="Z27" s="662">
        <f>365.25*24*Z25*$D$20*3600*'Plant Overview'!$I$32/10^6</f>
        <v>0</v>
      </c>
      <c r="AA27" s="662">
        <f>365.25*24*AA25*$D$20*3600*'Plant Overview'!$I$32/10^6</f>
        <v>0</v>
      </c>
      <c r="AB27" s="662">
        <f>365.25*24*AB25*$D$20*3600*'Plant Overview'!$I$32/10^6</f>
        <v>0</v>
      </c>
      <c r="AC27" s="662">
        <f>365.25*24*AC25*$D$20*3600*'Plant Overview'!$I$32/10^6</f>
        <v>0</v>
      </c>
      <c r="AD27" s="662">
        <f>365.25*24*AD25*$D$20*3600*'Plant Overview'!$I$32/10^6</f>
        <v>0</v>
      </c>
      <c r="AE27" s="662">
        <f>365.25*24*AE25*$D$20*3600*'Plant Overview'!$I$32/10^6</f>
        <v>0</v>
      </c>
      <c r="AF27" s="662">
        <f>365.25*24*AF25*$D$20*3600*'Plant Overview'!$I$32/10^6</f>
        <v>0</v>
      </c>
      <c r="AG27" s="662">
        <f>365.25*24*AG25*$D$20*3600*'Plant Overview'!$I$32/10^6</f>
        <v>0</v>
      </c>
      <c r="AH27" s="662">
        <f>365.25*24*AH25*$D$20*3600*'Plant Overview'!$I$32/10^6</f>
        <v>0</v>
      </c>
      <c r="AI27" s="662">
        <f>365.25*24*AI25*$D$20*3600*'Plant Overview'!$I$32/10^6</f>
        <v>0</v>
      </c>
      <c r="AJ27" s="662">
        <f>365.25*24*AJ25*$D$20*3600*'Plant Overview'!$I$32/10^6</f>
        <v>0</v>
      </c>
      <c r="AK27" s="662">
        <f>365.25*24*AK25*$D$20*3600*'Plant Overview'!$I$32/10^6</f>
        <v>0</v>
      </c>
      <c r="AL27" s="662">
        <f>365.25*24*AL25*$D$20*3600*'Plant Overview'!$I$32/10^6</f>
        <v>0</v>
      </c>
      <c r="AM27" s="662">
        <f>365.25*24*AM25*$D$20*3600*'Plant Overview'!$I$32/10^6</f>
        <v>0</v>
      </c>
      <c r="AN27" s="662">
        <f>365.25*24*AN25*$D$20*3600*'Plant Overview'!$I$32/10^6</f>
        <v>0</v>
      </c>
      <c r="AO27" s="662">
        <f>365.25*24*AO25*$D$20*3600*'Plant Overview'!$I$32/10^6</f>
        <v>0</v>
      </c>
      <c r="AP27" s="662">
        <f>365.25*24*AP25*$D$20*3600*'Plant Overview'!$I$32/10^6</f>
        <v>0</v>
      </c>
      <c r="AQ27" s="662">
        <f>365.25*24*AQ25*$D$20*3600*'Plant Overview'!$I$32/10^6</f>
        <v>0</v>
      </c>
      <c r="AR27" s="662">
        <f>365.25*24*AR25*$D$20*3600*'Plant Overview'!$I$32/10^6</f>
        <v>0</v>
      </c>
      <c r="AS27" s="662">
        <f>365.25*24*AS25*$D$20*3600*'Plant Overview'!$I$32/10^6</f>
        <v>0</v>
      </c>
      <c r="AT27" s="663">
        <f>365.25*24*AT25*$D$20*3600*'Plant Overview'!$I$32/10^6</f>
        <v>0</v>
      </c>
    </row>
    <row r="28" spans="1:48" ht="20.399999999999999" customHeight="1" x14ac:dyDescent="0.3">
      <c r="A28" s="83"/>
      <c r="B28" s="658" t="s">
        <v>444</v>
      </c>
      <c r="C28" s="616"/>
      <c r="D28" s="549"/>
      <c r="E28" s="549"/>
      <c r="F28" s="549"/>
      <c r="G28" s="550"/>
      <c r="H28" s="551"/>
      <c r="I28" s="551"/>
      <c r="J28" s="551"/>
      <c r="K28" s="551"/>
      <c r="L28" s="551"/>
      <c r="M28" s="551"/>
      <c r="N28" s="551"/>
      <c r="O28" s="551"/>
      <c r="P28" s="551"/>
      <c r="Q28" s="551"/>
      <c r="R28" s="551"/>
      <c r="S28" s="551"/>
      <c r="T28" s="551"/>
      <c r="U28" s="551"/>
      <c r="V28" s="551"/>
      <c r="W28" s="551"/>
      <c r="X28" s="551"/>
      <c r="Y28" s="551"/>
      <c r="Z28" s="551"/>
      <c r="AA28" s="551"/>
      <c r="AB28" s="551"/>
      <c r="AC28" s="551"/>
      <c r="AD28" s="551"/>
      <c r="AE28" s="551"/>
      <c r="AF28" s="517"/>
      <c r="AG28" s="517"/>
      <c r="AH28" s="517"/>
      <c r="AI28" s="517"/>
      <c r="AJ28" s="517"/>
      <c r="AK28" s="553"/>
      <c r="AL28" s="554"/>
      <c r="AM28" s="554"/>
      <c r="AN28" s="554"/>
      <c r="AO28" s="554"/>
      <c r="AP28" s="554"/>
      <c r="AQ28" s="554"/>
      <c r="AR28" s="554"/>
      <c r="AS28" s="554"/>
      <c r="AT28" s="555"/>
    </row>
    <row r="29" spans="1:48" ht="20.399999999999999" customHeight="1" x14ac:dyDescent="0.3">
      <c r="A29" s="83"/>
      <c r="B29" s="611" t="s">
        <v>438</v>
      </c>
      <c r="C29" s="551">
        <f>IF($D$17&gt;3,$D$7/$D$17,0)</f>
        <v>0</v>
      </c>
      <c r="D29" s="551">
        <f>IF($D$17&gt;2,$D$7/$D$17,0)</f>
        <v>0</v>
      </c>
      <c r="E29" s="551">
        <f>IF($D$17&gt;1,$D$7/$D$17,0)</f>
        <v>0</v>
      </c>
      <c r="F29" s="551">
        <f>$D$7/$D$17</f>
        <v>0</v>
      </c>
      <c r="G29" s="550"/>
      <c r="H29" s="551"/>
      <c r="I29" s="551"/>
      <c r="J29" s="551"/>
      <c r="K29" s="551"/>
      <c r="L29" s="551"/>
      <c r="M29" s="551"/>
      <c r="N29" s="551"/>
      <c r="O29" s="551"/>
      <c r="P29" s="551"/>
      <c r="Q29" s="551"/>
      <c r="R29" s="551"/>
      <c r="S29" s="551"/>
      <c r="T29" s="551"/>
      <c r="U29" s="551"/>
      <c r="V29" s="551"/>
      <c r="W29" s="551"/>
      <c r="X29" s="551"/>
      <c r="Y29" s="551"/>
      <c r="Z29" s="551"/>
      <c r="AA29" s="551"/>
      <c r="AB29" s="551"/>
      <c r="AC29" s="551"/>
      <c r="AD29" s="551"/>
      <c r="AE29" s="551"/>
      <c r="AF29" s="517"/>
      <c r="AG29" s="517"/>
      <c r="AH29" s="517"/>
      <c r="AI29" s="517"/>
      <c r="AJ29" s="517"/>
      <c r="AK29" s="553"/>
      <c r="AL29" s="554"/>
      <c r="AM29" s="554"/>
      <c r="AN29" s="554"/>
      <c r="AO29" s="554"/>
      <c r="AP29" s="554"/>
      <c r="AQ29" s="554"/>
      <c r="AR29" s="554"/>
      <c r="AS29" s="554"/>
      <c r="AT29" s="555"/>
    </row>
    <row r="30" spans="1:48" ht="20.399999999999999" customHeight="1" x14ac:dyDescent="0.3">
      <c r="A30" s="83"/>
      <c r="B30" s="612" t="s">
        <v>458</v>
      </c>
      <c r="C30" s="551"/>
      <c r="D30" s="551"/>
      <c r="E30" s="551"/>
      <c r="F30" s="551"/>
      <c r="G30" s="621">
        <f>+$D$8</f>
        <v>0</v>
      </c>
      <c r="H30" s="620">
        <f t="shared" ref="H30:AT30" si="1">+IF(H24&lt;=$D$16,$D$8,0)</f>
        <v>0</v>
      </c>
      <c r="I30" s="620">
        <f t="shared" si="1"/>
        <v>0</v>
      </c>
      <c r="J30" s="620">
        <f t="shared" si="1"/>
        <v>0</v>
      </c>
      <c r="K30" s="620">
        <f t="shared" si="1"/>
        <v>0</v>
      </c>
      <c r="L30" s="620">
        <f t="shared" si="1"/>
        <v>0</v>
      </c>
      <c r="M30" s="620">
        <f t="shared" si="1"/>
        <v>0</v>
      </c>
      <c r="N30" s="620">
        <f t="shared" si="1"/>
        <v>0</v>
      </c>
      <c r="O30" s="620">
        <f t="shared" si="1"/>
        <v>0</v>
      </c>
      <c r="P30" s="620">
        <f t="shared" si="1"/>
        <v>0</v>
      </c>
      <c r="Q30" s="620">
        <f t="shared" si="1"/>
        <v>0</v>
      </c>
      <c r="R30" s="620">
        <f t="shared" si="1"/>
        <v>0</v>
      </c>
      <c r="S30" s="620">
        <f t="shared" si="1"/>
        <v>0</v>
      </c>
      <c r="T30" s="620">
        <f t="shared" si="1"/>
        <v>0</v>
      </c>
      <c r="U30" s="620">
        <f t="shared" si="1"/>
        <v>0</v>
      </c>
      <c r="V30" s="620">
        <f t="shared" si="1"/>
        <v>0</v>
      </c>
      <c r="W30" s="620">
        <f t="shared" si="1"/>
        <v>0</v>
      </c>
      <c r="X30" s="620">
        <f t="shared" si="1"/>
        <v>0</v>
      </c>
      <c r="Y30" s="620">
        <f t="shared" si="1"/>
        <v>0</v>
      </c>
      <c r="Z30" s="620">
        <f t="shared" si="1"/>
        <v>0</v>
      </c>
      <c r="AA30" s="620">
        <f t="shared" si="1"/>
        <v>0</v>
      </c>
      <c r="AB30" s="620">
        <f t="shared" si="1"/>
        <v>0</v>
      </c>
      <c r="AC30" s="620">
        <f t="shared" si="1"/>
        <v>0</v>
      </c>
      <c r="AD30" s="620">
        <f t="shared" si="1"/>
        <v>0</v>
      </c>
      <c r="AE30" s="620">
        <f t="shared" si="1"/>
        <v>0</v>
      </c>
      <c r="AF30" s="620">
        <f t="shared" si="1"/>
        <v>0</v>
      </c>
      <c r="AG30" s="620">
        <f t="shared" si="1"/>
        <v>0</v>
      </c>
      <c r="AH30" s="620">
        <f t="shared" si="1"/>
        <v>0</v>
      </c>
      <c r="AI30" s="620">
        <f t="shared" si="1"/>
        <v>0</v>
      </c>
      <c r="AJ30" s="620">
        <f t="shared" si="1"/>
        <v>0</v>
      </c>
      <c r="AK30" s="620">
        <f t="shared" si="1"/>
        <v>0</v>
      </c>
      <c r="AL30" s="620">
        <f t="shared" si="1"/>
        <v>0</v>
      </c>
      <c r="AM30" s="620">
        <f t="shared" si="1"/>
        <v>0</v>
      </c>
      <c r="AN30" s="620">
        <f t="shared" si="1"/>
        <v>0</v>
      </c>
      <c r="AO30" s="620">
        <f t="shared" si="1"/>
        <v>0</v>
      </c>
      <c r="AP30" s="620">
        <f t="shared" si="1"/>
        <v>0</v>
      </c>
      <c r="AQ30" s="620">
        <f t="shared" si="1"/>
        <v>0</v>
      </c>
      <c r="AR30" s="620">
        <f t="shared" si="1"/>
        <v>0</v>
      </c>
      <c r="AS30" s="620">
        <f t="shared" si="1"/>
        <v>0</v>
      </c>
      <c r="AT30" s="622">
        <f t="shared" si="1"/>
        <v>0</v>
      </c>
    </row>
    <row r="31" spans="1:48" ht="20.399999999999999" customHeight="1" x14ac:dyDescent="0.3">
      <c r="A31" s="83"/>
      <c r="B31" s="611" t="str">
        <f>+B9</f>
        <v>Fuel 1</v>
      </c>
      <c r="C31" s="551"/>
      <c r="D31" s="551"/>
      <c r="E31" s="551"/>
      <c r="F31" s="551"/>
      <c r="G31" s="621">
        <f t="shared" ref="G31:AT31" si="2">+$D$9*G25</f>
        <v>0</v>
      </c>
      <c r="H31" s="620">
        <f t="shared" si="2"/>
        <v>0</v>
      </c>
      <c r="I31" s="620">
        <f t="shared" si="2"/>
        <v>0</v>
      </c>
      <c r="J31" s="620">
        <f t="shared" si="2"/>
        <v>0</v>
      </c>
      <c r="K31" s="620">
        <f t="shared" si="2"/>
        <v>0</v>
      </c>
      <c r="L31" s="620">
        <f t="shared" si="2"/>
        <v>0</v>
      </c>
      <c r="M31" s="620">
        <f t="shared" si="2"/>
        <v>0</v>
      </c>
      <c r="N31" s="620">
        <f t="shared" si="2"/>
        <v>0</v>
      </c>
      <c r="O31" s="620">
        <f t="shared" si="2"/>
        <v>0</v>
      </c>
      <c r="P31" s="620">
        <f t="shared" si="2"/>
        <v>0</v>
      </c>
      <c r="Q31" s="620">
        <f t="shared" si="2"/>
        <v>0</v>
      </c>
      <c r="R31" s="620">
        <f t="shared" si="2"/>
        <v>0</v>
      </c>
      <c r="S31" s="620">
        <f t="shared" si="2"/>
        <v>0</v>
      </c>
      <c r="T31" s="620">
        <f t="shared" si="2"/>
        <v>0</v>
      </c>
      <c r="U31" s="620">
        <f t="shared" si="2"/>
        <v>0</v>
      </c>
      <c r="V31" s="620">
        <f t="shared" si="2"/>
        <v>0</v>
      </c>
      <c r="W31" s="620">
        <f t="shared" si="2"/>
        <v>0</v>
      </c>
      <c r="X31" s="620">
        <f t="shared" si="2"/>
        <v>0</v>
      </c>
      <c r="Y31" s="620">
        <f t="shared" si="2"/>
        <v>0</v>
      </c>
      <c r="Z31" s="620">
        <f t="shared" si="2"/>
        <v>0</v>
      </c>
      <c r="AA31" s="620">
        <f t="shared" si="2"/>
        <v>0</v>
      </c>
      <c r="AB31" s="620">
        <f t="shared" si="2"/>
        <v>0</v>
      </c>
      <c r="AC31" s="620">
        <f t="shared" si="2"/>
        <v>0</v>
      </c>
      <c r="AD31" s="620">
        <f t="shared" si="2"/>
        <v>0</v>
      </c>
      <c r="AE31" s="620">
        <f t="shared" si="2"/>
        <v>0</v>
      </c>
      <c r="AF31" s="620">
        <f t="shared" si="2"/>
        <v>0</v>
      </c>
      <c r="AG31" s="620">
        <f t="shared" si="2"/>
        <v>0</v>
      </c>
      <c r="AH31" s="620">
        <f t="shared" si="2"/>
        <v>0</v>
      </c>
      <c r="AI31" s="620">
        <f t="shared" si="2"/>
        <v>0</v>
      </c>
      <c r="AJ31" s="620">
        <f t="shared" si="2"/>
        <v>0</v>
      </c>
      <c r="AK31" s="620">
        <f t="shared" si="2"/>
        <v>0</v>
      </c>
      <c r="AL31" s="620">
        <f t="shared" si="2"/>
        <v>0</v>
      </c>
      <c r="AM31" s="620">
        <f t="shared" si="2"/>
        <v>0</v>
      </c>
      <c r="AN31" s="620">
        <f t="shared" si="2"/>
        <v>0</v>
      </c>
      <c r="AO31" s="620">
        <f t="shared" si="2"/>
        <v>0</v>
      </c>
      <c r="AP31" s="620">
        <f t="shared" si="2"/>
        <v>0</v>
      </c>
      <c r="AQ31" s="620">
        <f t="shared" si="2"/>
        <v>0</v>
      </c>
      <c r="AR31" s="620">
        <f t="shared" si="2"/>
        <v>0</v>
      </c>
      <c r="AS31" s="620">
        <f t="shared" si="2"/>
        <v>0</v>
      </c>
      <c r="AT31" s="622">
        <f t="shared" si="2"/>
        <v>0</v>
      </c>
    </row>
    <row r="32" spans="1:48" ht="20.399999999999999" customHeight="1" x14ac:dyDescent="0.3">
      <c r="A32" s="83"/>
      <c r="B32" s="611" t="str">
        <f>+B10</f>
        <v>Fuel 2</v>
      </c>
      <c r="C32" s="551"/>
      <c r="D32" s="551"/>
      <c r="E32" s="551"/>
      <c r="F32" s="551"/>
      <c r="G32" s="621">
        <f t="shared" ref="G32:AT32" si="3">+$D$10*G25</f>
        <v>0</v>
      </c>
      <c r="H32" s="620">
        <f t="shared" si="3"/>
        <v>0</v>
      </c>
      <c r="I32" s="620">
        <f t="shared" si="3"/>
        <v>0</v>
      </c>
      <c r="J32" s="620">
        <f t="shared" si="3"/>
        <v>0</v>
      </c>
      <c r="K32" s="620">
        <f t="shared" si="3"/>
        <v>0</v>
      </c>
      <c r="L32" s="620">
        <f t="shared" si="3"/>
        <v>0</v>
      </c>
      <c r="M32" s="620">
        <f t="shared" si="3"/>
        <v>0</v>
      </c>
      <c r="N32" s="620">
        <f t="shared" si="3"/>
        <v>0</v>
      </c>
      <c r="O32" s="620">
        <f t="shared" si="3"/>
        <v>0</v>
      </c>
      <c r="P32" s="620">
        <f t="shared" si="3"/>
        <v>0</v>
      </c>
      <c r="Q32" s="620">
        <f t="shared" si="3"/>
        <v>0</v>
      </c>
      <c r="R32" s="620">
        <f t="shared" si="3"/>
        <v>0</v>
      </c>
      <c r="S32" s="620">
        <f t="shared" si="3"/>
        <v>0</v>
      </c>
      <c r="T32" s="620">
        <f t="shared" si="3"/>
        <v>0</v>
      </c>
      <c r="U32" s="620">
        <f t="shared" si="3"/>
        <v>0</v>
      </c>
      <c r="V32" s="620">
        <f t="shared" si="3"/>
        <v>0</v>
      </c>
      <c r="W32" s="620">
        <f t="shared" si="3"/>
        <v>0</v>
      </c>
      <c r="X32" s="620">
        <f t="shared" si="3"/>
        <v>0</v>
      </c>
      <c r="Y32" s="620">
        <f t="shared" si="3"/>
        <v>0</v>
      </c>
      <c r="Z32" s="620">
        <f t="shared" si="3"/>
        <v>0</v>
      </c>
      <c r="AA32" s="620">
        <f t="shared" si="3"/>
        <v>0</v>
      </c>
      <c r="AB32" s="620">
        <f t="shared" si="3"/>
        <v>0</v>
      </c>
      <c r="AC32" s="620">
        <f t="shared" si="3"/>
        <v>0</v>
      </c>
      <c r="AD32" s="620">
        <f t="shared" si="3"/>
        <v>0</v>
      </c>
      <c r="AE32" s="620">
        <f t="shared" si="3"/>
        <v>0</v>
      </c>
      <c r="AF32" s="620">
        <f t="shared" si="3"/>
        <v>0</v>
      </c>
      <c r="AG32" s="620">
        <f t="shared" si="3"/>
        <v>0</v>
      </c>
      <c r="AH32" s="620">
        <f t="shared" si="3"/>
        <v>0</v>
      </c>
      <c r="AI32" s="620">
        <f t="shared" si="3"/>
        <v>0</v>
      </c>
      <c r="AJ32" s="620">
        <f t="shared" si="3"/>
        <v>0</v>
      </c>
      <c r="AK32" s="620">
        <f t="shared" si="3"/>
        <v>0</v>
      </c>
      <c r="AL32" s="620">
        <f t="shared" si="3"/>
        <v>0</v>
      </c>
      <c r="AM32" s="620">
        <f t="shared" si="3"/>
        <v>0</v>
      </c>
      <c r="AN32" s="620">
        <f t="shared" si="3"/>
        <v>0</v>
      </c>
      <c r="AO32" s="620">
        <f t="shared" si="3"/>
        <v>0</v>
      </c>
      <c r="AP32" s="620">
        <f t="shared" si="3"/>
        <v>0</v>
      </c>
      <c r="AQ32" s="620">
        <f t="shared" si="3"/>
        <v>0</v>
      </c>
      <c r="AR32" s="620">
        <f t="shared" si="3"/>
        <v>0</v>
      </c>
      <c r="AS32" s="620">
        <f t="shared" si="3"/>
        <v>0</v>
      </c>
      <c r="AT32" s="622">
        <f t="shared" si="3"/>
        <v>0</v>
      </c>
    </row>
    <row r="33" spans="1:46" ht="20.399999999999999" customHeight="1" x14ac:dyDescent="0.3">
      <c r="A33" s="83"/>
      <c r="B33" s="611" t="s">
        <v>494</v>
      </c>
      <c r="C33" s="551"/>
      <c r="D33" s="551"/>
      <c r="E33" s="551"/>
      <c r="F33" s="551"/>
      <c r="G33" s="621">
        <f>'Plant OPEX'!$U$19*'Cash Flow Analysis'!G25</f>
        <v>0</v>
      </c>
      <c r="H33" s="620">
        <f>'Plant OPEX'!$U$19*'Cash Flow Analysis'!H25</f>
        <v>0</v>
      </c>
      <c r="I33" s="620">
        <f>'Plant OPEX'!$U$19*'Cash Flow Analysis'!I25</f>
        <v>0</v>
      </c>
      <c r="J33" s="620">
        <f>'Plant OPEX'!$U$19*'Cash Flow Analysis'!J25</f>
        <v>0</v>
      </c>
      <c r="K33" s="620">
        <f>'Plant OPEX'!$U$19*'Cash Flow Analysis'!K25</f>
        <v>0</v>
      </c>
      <c r="L33" s="620">
        <f>'Plant OPEX'!$U$19*'Cash Flow Analysis'!L25</f>
        <v>0</v>
      </c>
      <c r="M33" s="620">
        <f>'Plant OPEX'!$U$19*'Cash Flow Analysis'!M25</f>
        <v>0</v>
      </c>
      <c r="N33" s="620">
        <f>'Plant OPEX'!$U$19*'Cash Flow Analysis'!N25</f>
        <v>0</v>
      </c>
      <c r="O33" s="620">
        <f>'Plant OPEX'!$U$19*'Cash Flow Analysis'!O25</f>
        <v>0</v>
      </c>
      <c r="P33" s="620">
        <f>'Plant OPEX'!$U$19*'Cash Flow Analysis'!P25</f>
        <v>0</v>
      </c>
      <c r="Q33" s="620">
        <f>'Plant OPEX'!$U$19*'Cash Flow Analysis'!Q25</f>
        <v>0</v>
      </c>
      <c r="R33" s="620">
        <f>'Plant OPEX'!$U$19*'Cash Flow Analysis'!R25</f>
        <v>0</v>
      </c>
      <c r="S33" s="620">
        <f>'Plant OPEX'!$U$19*'Cash Flow Analysis'!S25</f>
        <v>0</v>
      </c>
      <c r="T33" s="620">
        <f>'Plant OPEX'!$U$19*'Cash Flow Analysis'!T25</f>
        <v>0</v>
      </c>
      <c r="U33" s="620">
        <f>'Plant OPEX'!$U$19*'Cash Flow Analysis'!U25</f>
        <v>0</v>
      </c>
      <c r="V33" s="620">
        <f>'Plant OPEX'!$U$19*'Cash Flow Analysis'!V25</f>
        <v>0</v>
      </c>
      <c r="W33" s="620">
        <f>'Plant OPEX'!$U$19*'Cash Flow Analysis'!W25</f>
        <v>0</v>
      </c>
      <c r="X33" s="620">
        <f>'Plant OPEX'!$U$19*'Cash Flow Analysis'!X25</f>
        <v>0</v>
      </c>
      <c r="Y33" s="620">
        <f>'Plant OPEX'!$U$19*'Cash Flow Analysis'!Y25</f>
        <v>0</v>
      </c>
      <c r="Z33" s="620">
        <f>'Plant OPEX'!$U$19*'Cash Flow Analysis'!Z25</f>
        <v>0</v>
      </c>
      <c r="AA33" s="620">
        <f>'Plant OPEX'!$U$19*'Cash Flow Analysis'!AA25</f>
        <v>0</v>
      </c>
      <c r="AB33" s="620">
        <f>'Plant OPEX'!$U$19*'Cash Flow Analysis'!AB25</f>
        <v>0</v>
      </c>
      <c r="AC33" s="620">
        <f>'Plant OPEX'!$U$19*'Cash Flow Analysis'!AC25</f>
        <v>0</v>
      </c>
      <c r="AD33" s="620">
        <f>'Plant OPEX'!$U$19*'Cash Flow Analysis'!AD25</f>
        <v>0</v>
      </c>
      <c r="AE33" s="620">
        <f>'Plant OPEX'!$U$19*'Cash Flow Analysis'!AE25</f>
        <v>0</v>
      </c>
      <c r="AF33" s="620">
        <f>'Plant OPEX'!$U$19*'Cash Flow Analysis'!AF25</f>
        <v>0</v>
      </c>
      <c r="AG33" s="620">
        <f>'Plant OPEX'!$U$19*'Cash Flow Analysis'!AG25</f>
        <v>0</v>
      </c>
      <c r="AH33" s="620">
        <f>'Plant OPEX'!$U$19*'Cash Flow Analysis'!AH25</f>
        <v>0</v>
      </c>
      <c r="AI33" s="620">
        <f>'Plant OPEX'!$U$19*'Cash Flow Analysis'!AI25</f>
        <v>0</v>
      </c>
      <c r="AJ33" s="620">
        <f>'Plant OPEX'!$U$19*'Cash Flow Analysis'!AJ25</f>
        <v>0</v>
      </c>
      <c r="AK33" s="620">
        <f>'Plant OPEX'!$U$19*'Cash Flow Analysis'!AK25</f>
        <v>0</v>
      </c>
      <c r="AL33" s="620">
        <f>'Plant OPEX'!$U$19*'Cash Flow Analysis'!AL25</f>
        <v>0</v>
      </c>
      <c r="AM33" s="620">
        <f>'Plant OPEX'!$U$19*'Cash Flow Analysis'!AM25</f>
        <v>0</v>
      </c>
      <c r="AN33" s="620">
        <f>'Plant OPEX'!$U$19*'Cash Flow Analysis'!AN25</f>
        <v>0</v>
      </c>
      <c r="AO33" s="620">
        <f>'Plant OPEX'!$U$19*'Cash Flow Analysis'!AO25</f>
        <v>0</v>
      </c>
      <c r="AP33" s="620">
        <f>'Plant OPEX'!$U$19*'Cash Flow Analysis'!AP25</f>
        <v>0</v>
      </c>
      <c r="AQ33" s="620">
        <f>'Plant OPEX'!$U$19*'Cash Flow Analysis'!AQ25</f>
        <v>0</v>
      </c>
      <c r="AR33" s="620">
        <f>'Plant OPEX'!$U$19*'Cash Flow Analysis'!AR25</f>
        <v>0</v>
      </c>
      <c r="AS33" s="620">
        <f>'Plant OPEX'!$U$19*'Cash Flow Analysis'!AS25</f>
        <v>0</v>
      </c>
      <c r="AT33" s="622">
        <f>'Plant OPEX'!$U$19*'Cash Flow Analysis'!AT25</f>
        <v>0</v>
      </c>
    </row>
    <row r="34" spans="1:46" ht="20.399999999999999" customHeight="1" x14ac:dyDescent="0.3">
      <c r="A34" s="83"/>
      <c r="B34" s="612" t="str">
        <f>+B11</f>
        <v>VOM</v>
      </c>
      <c r="C34" s="551"/>
      <c r="D34" s="551"/>
      <c r="E34" s="551"/>
      <c r="F34" s="551"/>
      <c r="G34" s="621">
        <f t="shared" ref="G34:AT34" si="4">+$D$11*G25</f>
        <v>0</v>
      </c>
      <c r="H34" s="620">
        <f t="shared" si="4"/>
        <v>0</v>
      </c>
      <c r="I34" s="620">
        <f t="shared" si="4"/>
        <v>0</v>
      </c>
      <c r="J34" s="620">
        <f t="shared" si="4"/>
        <v>0</v>
      </c>
      <c r="K34" s="620">
        <f t="shared" si="4"/>
        <v>0</v>
      </c>
      <c r="L34" s="620">
        <f t="shared" si="4"/>
        <v>0</v>
      </c>
      <c r="M34" s="620">
        <f t="shared" si="4"/>
        <v>0</v>
      </c>
      <c r="N34" s="620">
        <f t="shared" si="4"/>
        <v>0</v>
      </c>
      <c r="O34" s="620">
        <f t="shared" si="4"/>
        <v>0</v>
      </c>
      <c r="P34" s="620">
        <f t="shared" si="4"/>
        <v>0</v>
      </c>
      <c r="Q34" s="620">
        <f t="shared" si="4"/>
        <v>0</v>
      </c>
      <c r="R34" s="620">
        <f t="shared" si="4"/>
        <v>0</v>
      </c>
      <c r="S34" s="620">
        <f t="shared" si="4"/>
        <v>0</v>
      </c>
      <c r="T34" s="620">
        <f t="shared" si="4"/>
        <v>0</v>
      </c>
      <c r="U34" s="620">
        <f t="shared" si="4"/>
        <v>0</v>
      </c>
      <c r="V34" s="620">
        <f t="shared" si="4"/>
        <v>0</v>
      </c>
      <c r="W34" s="620">
        <f t="shared" si="4"/>
        <v>0</v>
      </c>
      <c r="X34" s="620">
        <f t="shared" si="4"/>
        <v>0</v>
      </c>
      <c r="Y34" s="620">
        <f t="shared" si="4"/>
        <v>0</v>
      </c>
      <c r="Z34" s="620">
        <f t="shared" si="4"/>
        <v>0</v>
      </c>
      <c r="AA34" s="620">
        <f t="shared" si="4"/>
        <v>0</v>
      </c>
      <c r="AB34" s="620">
        <f t="shared" si="4"/>
        <v>0</v>
      </c>
      <c r="AC34" s="620">
        <f t="shared" si="4"/>
        <v>0</v>
      </c>
      <c r="AD34" s="620">
        <f t="shared" si="4"/>
        <v>0</v>
      </c>
      <c r="AE34" s="620">
        <f t="shared" si="4"/>
        <v>0</v>
      </c>
      <c r="AF34" s="620">
        <f t="shared" si="4"/>
        <v>0</v>
      </c>
      <c r="AG34" s="620">
        <f t="shared" si="4"/>
        <v>0</v>
      </c>
      <c r="AH34" s="620">
        <f t="shared" si="4"/>
        <v>0</v>
      </c>
      <c r="AI34" s="620">
        <f t="shared" si="4"/>
        <v>0</v>
      </c>
      <c r="AJ34" s="620">
        <f t="shared" si="4"/>
        <v>0</v>
      </c>
      <c r="AK34" s="620">
        <f t="shared" si="4"/>
        <v>0</v>
      </c>
      <c r="AL34" s="620">
        <f t="shared" si="4"/>
        <v>0</v>
      </c>
      <c r="AM34" s="620">
        <f t="shared" si="4"/>
        <v>0</v>
      </c>
      <c r="AN34" s="620">
        <f t="shared" si="4"/>
        <v>0</v>
      </c>
      <c r="AO34" s="620">
        <f t="shared" si="4"/>
        <v>0</v>
      </c>
      <c r="AP34" s="620">
        <f t="shared" si="4"/>
        <v>0</v>
      </c>
      <c r="AQ34" s="620">
        <f t="shared" si="4"/>
        <v>0</v>
      </c>
      <c r="AR34" s="620">
        <f t="shared" si="4"/>
        <v>0</v>
      </c>
      <c r="AS34" s="620">
        <f t="shared" si="4"/>
        <v>0</v>
      </c>
      <c r="AT34" s="622">
        <f t="shared" si="4"/>
        <v>0</v>
      </c>
    </row>
    <row r="35" spans="1:46" ht="20.399999999999999" customHeight="1" x14ac:dyDescent="0.3">
      <c r="A35" s="83"/>
      <c r="B35" s="659" t="s">
        <v>441</v>
      </c>
      <c r="C35" s="557">
        <f t="shared" ref="C35:AT35" si="5">C27-SUM(C29:C34)</f>
        <v>0</v>
      </c>
      <c r="D35" s="557">
        <f t="shared" si="5"/>
        <v>0</v>
      </c>
      <c r="E35" s="557">
        <f t="shared" si="5"/>
        <v>0</v>
      </c>
      <c r="F35" s="557">
        <f t="shared" si="5"/>
        <v>0</v>
      </c>
      <c r="G35" s="661">
        <f>G27-SUM(G29:G34)</f>
        <v>0</v>
      </c>
      <c r="H35" s="662">
        <f t="shared" si="5"/>
        <v>0</v>
      </c>
      <c r="I35" s="662">
        <f t="shared" si="5"/>
        <v>0</v>
      </c>
      <c r="J35" s="662">
        <f t="shared" si="5"/>
        <v>0</v>
      </c>
      <c r="K35" s="662">
        <f t="shared" si="5"/>
        <v>0</v>
      </c>
      <c r="L35" s="662">
        <f t="shared" si="5"/>
        <v>0</v>
      </c>
      <c r="M35" s="662">
        <f t="shared" si="5"/>
        <v>0</v>
      </c>
      <c r="N35" s="662">
        <f t="shared" si="5"/>
        <v>0</v>
      </c>
      <c r="O35" s="662">
        <f t="shared" si="5"/>
        <v>0</v>
      </c>
      <c r="P35" s="662">
        <f t="shared" si="5"/>
        <v>0</v>
      </c>
      <c r="Q35" s="662">
        <f t="shared" si="5"/>
        <v>0</v>
      </c>
      <c r="R35" s="662">
        <f t="shared" si="5"/>
        <v>0</v>
      </c>
      <c r="S35" s="662">
        <f t="shared" si="5"/>
        <v>0</v>
      </c>
      <c r="T35" s="662">
        <f t="shared" si="5"/>
        <v>0</v>
      </c>
      <c r="U35" s="662">
        <f t="shared" si="5"/>
        <v>0</v>
      </c>
      <c r="V35" s="662">
        <f t="shared" si="5"/>
        <v>0</v>
      </c>
      <c r="W35" s="662">
        <f t="shared" si="5"/>
        <v>0</v>
      </c>
      <c r="X35" s="662">
        <f t="shared" si="5"/>
        <v>0</v>
      </c>
      <c r="Y35" s="662">
        <f t="shared" si="5"/>
        <v>0</v>
      </c>
      <c r="Z35" s="662">
        <f t="shared" si="5"/>
        <v>0</v>
      </c>
      <c r="AA35" s="662">
        <f t="shared" si="5"/>
        <v>0</v>
      </c>
      <c r="AB35" s="662">
        <f t="shared" si="5"/>
        <v>0</v>
      </c>
      <c r="AC35" s="662">
        <f t="shared" si="5"/>
        <v>0</v>
      </c>
      <c r="AD35" s="662">
        <f t="shared" si="5"/>
        <v>0</v>
      </c>
      <c r="AE35" s="662">
        <f t="shared" si="5"/>
        <v>0</v>
      </c>
      <c r="AF35" s="662">
        <f t="shared" si="5"/>
        <v>0</v>
      </c>
      <c r="AG35" s="662">
        <f t="shared" si="5"/>
        <v>0</v>
      </c>
      <c r="AH35" s="662">
        <f t="shared" si="5"/>
        <v>0</v>
      </c>
      <c r="AI35" s="662">
        <f t="shared" si="5"/>
        <v>0</v>
      </c>
      <c r="AJ35" s="662">
        <f t="shared" si="5"/>
        <v>0</v>
      </c>
      <c r="AK35" s="662">
        <f t="shared" si="5"/>
        <v>0</v>
      </c>
      <c r="AL35" s="662">
        <f t="shared" si="5"/>
        <v>0</v>
      </c>
      <c r="AM35" s="662">
        <f t="shared" si="5"/>
        <v>0</v>
      </c>
      <c r="AN35" s="662">
        <f t="shared" si="5"/>
        <v>0</v>
      </c>
      <c r="AO35" s="662">
        <f t="shared" si="5"/>
        <v>0</v>
      </c>
      <c r="AP35" s="662">
        <f t="shared" si="5"/>
        <v>0</v>
      </c>
      <c r="AQ35" s="662">
        <f t="shared" si="5"/>
        <v>0</v>
      </c>
      <c r="AR35" s="662">
        <f t="shared" si="5"/>
        <v>0</v>
      </c>
      <c r="AS35" s="662">
        <f t="shared" si="5"/>
        <v>0</v>
      </c>
      <c r="AT35" s="663">
        <f t="shared" si="5"/>
        <v>0</v>
      </c>
    </row>
    <row r="36" spans="1:46" ht="20.399999999999999" customHeight="1" x14ac:dyDescent="0.3">
      <c r="A36" s="83"/>
      <c r="B36" s="611" t="s">
        <v>445</v>
      </c>
      <c r="C36" s="620">
        <v>1</v>
      </c>
      <c r="D36" s="620">
        <f>C36/(1+$D$21)</f>
        <v>0.92592592592592582</v>
      </c>
      <c r="E36" s="620">
        <f>D36/(1+$D$21)</f>
        <v>0.8573388203017831</v>
      </c>
      <c r="F36" s="620">
        <f>E36/(1+$D$21)</f>
        <v>0.79383224102016947</v>
      </c>
      <c r="G36" s="621">
        <f>F36/(1+$D$21)</f>
        <v>0.73502985279645316</v>
      </c>
      <c r="H36" s="620">
        <f t="shared" ref="H36:AT36" si="6">IF(H24&lt;=$D$16,G36/(1+$D$21),0)</f>
        <v>0.68058319703375292</v>
      </c>
      <c r="I36" s="620">
        <f t="shared" si="6"/>
        <v>0.63016962688310452</v>
      </c>
      <c r="J36" s="620">
        <f t="shared" si="6"/>
        <v>0.58349039526213375</v>
      </c>
      <c r="K36" s="620">
        <f t="shared" si="6"/>
        <v>0.54026888450197563</v>
      </c>
      <c r="L36" s="620">
        <f t="shared" si="6"/>
        <v>0.50024896713145883</v>
      </c>
      <c r="M36" s="620">
        <f t="shared" si="6"/>
        <v>0.46319348808468408</v>
      </c>
      <c r="N36" s="620">
        <f t="shared" si="6"/>
        <v>0.4288828593376704</v>
      </c>
      <c r="O36" s="620">
        <f t="shared" si="6"/>
        <v>0.39711375864599108</v>
      </c>
      <c r="P36" s="620">
        <f t="shared" si="6"/>
        <v>0.36769792467221396</v>
      </c>
      <c r="Q36" s="620">
        <f t="shared" si="6"/>
        <v>0.34046104136316108</v>
      </c>
      <c r="R36" s="620">
        <f t="shared" si="6"/>
        <v>0.31524170496588988</v>
      </c>
      <c r="S36" s="620">
        <f t="shared" si="6"/>
        <v>0.29189046756100911</v>
      </c>
      <c r="T36" s="620">
        <f t="shared" si="6"/>
        <v>0.27026895144537877</v>
      </c>
      <c r="U36" s="620">
        <f t="shared" si="6"/>
        <v>0.25024902911609143</v>
      </c>
      <c r="V36" s="620">
        <f t="shared" si="6"/>
        <v>0.23171206399638095</v>
      </c>
      <c r="W36" s="620">
        <f t="shared" si="6"/>
        <v>0.21454820740405642</v>
      </c>
      <c r="X36" s="620">
        <f t="shared" si="6"/>
        <v>0.19865574759634852</v>
      </c>
      <c r="Y36" s="620">
        <f t="shared" si="6"/>
        <v>0.18394050703365603</v>
      </c>
      <c r="Z36" s="620">
        <f t="shared" si="6"/>
        <v>0.17031528429042223</v>
      </c>
      <c r="AA36" s="620">
        <f t="shared" si="6"/>
        <v>0.15769933730594649</v>
      </c>
      <c r="AB36" s="620">
        <f t="shared" si="6"/>
        <v>0.14601790491291342</v>
      </c>
      <c r="AC36" s="620">
        <f t="shared" si="6"/>
        <v>0.13520176380825316</v>
      </c>
      <c r="AD36" s="620">
        <f t="shared" si="6"/>
        <v>0.12518681834097514</v>
      </c>
      <c r="AE36" s="620">
        <f t="shared" si="6"/>
        <v>0.11591372068608809</v>
      </c>
      <c r="AF36" s="620">
        <f t="shared" si="6"/>
        <v>0</v>
      </c>
      <c r="AG36" s="620">
        <f t="shared" si="6"/>
        <v>0</v>
      </c>
      <c r="AH36" s="620">
        <f t="shared" si="6"/>
        <v>0</v>
      </c>
      <c r="AI36" s="620">
        <f t="shared" si="6"/>
        <v>0</v>
      </c>
      <c r="AJ36" s="620">
        <f t="shared" si="6"/>
        <v>0</v>
      </c>
      <c r="AK36" s="620">
        <f t="shared" si="6"/>
        <v>0</v>
      </c>
      <c r="AL36" s="620">
        <f t="shared" si="6"/>
        <v>0</v>
      </c>
      <c r="AM36" s="620">
        <f t="shared" si="6"/>
        <v>0</v>
      </c>
      <c r="AN36" s="620">
        <f t="shared" si="6"/>
        <v>0</v>
      </c>
      <c r="AO36" s="620">
        <f t="shared" si="6"/>
        <v>0</v>
      </c>
      <c r="AP36" s="620">
        <f t="shared" si="6"/>
        <v>0</v>
      </c>
      <c r="AQ36" s="620">
        <f t="shared" si="6"/>
        <v>0</v>
      </c>
      <c r="AR36" s="620">
        <f t="shared" si="6"/>
        <v>0</v>
      </c>
      <c r="AS36" s="620">
        <f t="shared" si="6"/>
        <v>0</v>
      </c>
      <c r="AT36" s="622">
        <f t="shared" si="6"/>
        <v>0</v>
      </c>
    </row>
    <row r="37" spans="1:46" ht="20.399999999999999" customHeight="1" x14ac:dyDescent="0.3">
      <c r="A37" s="83"/>
      <c r="B37" s="611" t="s">
        <v>446</v>
      </c>
      <c r="C37" s="551">
        <f>C35*C36</f>
        <v>0</v>
      </c>
      <c r="D37" s="551">
        <f>D35*D36</f>
        <v>0</v>
      </c>
      <c r="E37" s="551">
        <f>E35*E36</f>
        <v>0</v>
      </c>
      <c r="F37" s="551">
        <f>F35*F36</f>
        <v>0</v>
      </c>
      <c r="G37" s="550">
        <f t="shared" ref="G37:AT37" si="7">G35*G36</f>
        <v>0</v>
      </c>
      <c r="H37" s="551">
        <f t="shared" si="7"/>
        <v>0</v>
      </c>
      <c r="I37" s="551">
        <f t="shared" si="7"/>
        <v>0</v>
      </c>
      <c r="J37" s="551">
        <f t="shared" si="7"/>
        <v>0</v>
      </c>
      <c r="K37" s="551">
        <f t="shared" si="7"/>
        <v>0</v>
      </c>
      <c r="L37" s="551">
        <f t="shared" si="7"/>
        <v>0</v>
      </c>
      <c r="M37" s="551">
        <f t="shared" si="7"/>
        <v>0</v>
      </c>
      <c r="N37" s="551">
        <f t="shared" si="7"/>
        <v>0</v>
      </c>
      <c r="O37" s="551">
        <f t="shared" si="7"/>
        <v>0</v>
      </c>
      <c r="P37" s="551">
        <f t="shared" si="7"/>
        <v>0</v>
      </c>
      <c r="Q37" s="551">
        <f t="shared" si="7"/>
        <v>0</v>
      </c>
      <c r="R37" s="551">
        <f t="shared" si="7"/>
        <v>0</v>
      </c>
      <c r="S37" s="551">
        <f t="shared" si="7"/>
        <v>0</v>
      </c>
      <c r="T37" s="551">
        <f t="shared" si="7"/>
        <v>0</v>
      </c>
      <c r="U37" s="551">
        <f t="shared" si="7"/>
        <v>0</v>
      </c>
      <c r="V37" s="551">
        <f t="shared" si="7"/>
        <v>0</v>
      </c>
      <c r="W37" s="551">
        <f t="shared" si="7"/>
        <v>0</v>
      </c>
      <c r="X37" s="551">
        <f t="shared" si="7"/>
        <v>0</v>
      </c>
      <c r="Y37" s="551">
        <f t="shared" si="7"/>
        <v>0</v>
      </c>
      <c r="Z37" s="551">
        <f t="shared" si="7"/>
        <v>0</v>
      </c>
      <c r="AA37" s="551">
        <f t="shared" si="7"/>
        <v>0</v>
      </c>
      <c r="AB37" s="551">
        <f t="shared" si="7"/>
        <v>0</v>
      </c>
      <c r="AC37" s="551">
        <f t="shared" si="7"/>
        <v>0</v>
      </c>
      <c r="AD37" s="551">
        <f t="shared" si="7"/>
        <v>0</v>
      </c>
      <c r="AE37" s="551">
        <f t="shared" si="7"/>
        <v>0</v>
      </c>
      <c r="AF37" s="551">
        <f t="shared" si="7"/>
        <v>0</v>
      </c>
      <c r="AG37" s="551">
        <f t="shared" si="7"/>
        <v>0</v>
      </c>
      <c r="AH37" s="551">
        <f t="shared" si="7"/>
        <v>0</v>
      </c>
      <c r="AI37" s="551">
        <f t="shared" si="7"/>
        <v>0</v>
      </c>
      <c r="AJ37" s="551">
        <f t="shared" si="7"/>
        <v>0</v>
      </c>
      <c r="AK37" s="551">
        <f t="shared" si="7"/>
        <v>0</v>
      </c>
      <c r="AL37" s="551">
        <f t="shared" si="7"/>
        <v>0</v>
      </c>
      <c r="AM37" s="551">
        <f t="shared" si="7"/>
        <v>0</v>
      </c>
      <c r="AN37" s="551">
        <f t="shared" si="7"/>
        <v>0</v>
      </c>
      <c r="AO37" s="551">
        <f t="shared" si="7"/>
        <v>0</v>
      </c>
      <c r="AP37" s="551">
        <f t="shared" si="7"/>
        <v>0</v>
      </c>
      <c r="AQ37" s="551">
        <f t="shared" si="7"/>
        <v>0</v>
      </c>
      <c r="AR37" s="551">
        <f t="shared" si="7"/>
        <v>0</v>
      </c>
      <c r="AS37" s="551">
        <f t="shared" si="7"/>
        <v>0</v>
      </c>
      <c r="AT37" s="552">
        <f t="shared" si="7"/>
        <v>0</v>
      </c>
    </row>
    <row r="38" spans="1:46" ht="20.399999999999999" customHeight="1" x14ac:dyDescent="0.3">
      <c r="A38" s="83"/>
      <c r="B38" s="611" t="s">
        <v>447</v>
      </c>
      <c r="C38" s="551">
        <f>+C37</f>
        <v>0</v>
      </c>
      <c r="D38" s="551">
        <f>D35+C38</f>
        <v>0</v>
      </c>
      <c r="E38" s="551">
        <f>E35+D38</f>
        <v>0</v>
      </c>
      <c r="F38" s="551">
        <f>F35+E38</f>
        <v>0</v>
      </c>
      <c r="G38" s="621">
        <f>G35+F38</f>
        <v>0</v>
      </c>
      <c r="H38" s="551">
        <f t="shared" ref="H38:AT38" si="8">IF(H24&lt;=$D$16,H35+G38,0)</f>
        <v>0</v>
      </c>
      <c r="I38" s="551">
        <f t="shared" si="8"/>
        <v>0</v>
      </c>
      <c r="J38" s="551">
        <f t="shared" si="8"/>
        <v>0</v>
      </c>
      <c r="K38" s="551">
        <f t="shared" si="8"/>
        <v>0</v>
      </c>
      <c r="L38" s="551">
        <f t="shared" si="8"/>
        <v>0</v>
      </c>
      <c r="M38" s="551">
        <f t="shared" si="8"/>
        <v>0</v>
      </c>
      <c r="N38" s="551">
        <f t="shared" si="8"/>
        <v>0</v>
      </c>
      <c r="O38" s="551">
        <f t="shared" si="8"/>
        <v>0</v>
      </c>
      <c r="P38" s="551">
        <f t="shared" si="8"/>
        <v>0</v>
      </c>
      <c r="Q38" s="551">
        <f t="shared" si="8"/>
        <v>0</v>
      </c>
      <c r="R38" s="551">
        <f t="shared" si="8"/>
        <v>0</v>
      </c>
      <c r="S38" s="551">
        <f t="shared" si="8"/>
        <v>0</v>
      </c>
      <c r="T38" s="551">
        <f t="shared" si="8"/>
        <v>0</v>
      </c>
      <c r="U38" s="551">
        <f t="shared" si="8"/>
        <v>0</v>
      </c>
      <c r="V38" s="551">
        <f t="shared" si="8"/>
        <v>0</v>
      </c>
      <c r="W38" s="551">
        <f t="shared" si="8"/>
        <v>0</v>
      </c>
      <c r="X38" s="551">
        <f t="shared" si="8"/>
        <v>0</v>
      </c>
      <c r="Y38" s="551">
        <f t="shared" si="8"/>
        <v>0</v>
      </c>
      <c r="Z38" s="551">
        <f t="shared" si="8"/>
        <v>0</v>
      </c>
      <c r="AA38" s="551">
        <f t="shared" si="8"/>
        <v>0</v>
      </c>
      <c r="AB38" s="551">
        <f t="shared" si="8"/>
        <v>0</v>
      </c>
      <c r="AC38" s="551">
        <f t="shared" si="8"/>
        <v>0</v>
      </c>
      <c r="AD38" s="551">
        <f t="shared" si="8"/>
        <v>0</v>
      </c>
      <c r="AE38" s="551">
        <f t="shared" si="8"/>
        <v>0</v>
      </c>
      <c r="AF38" s="551">
        <f t="shared" si="8"/>
        <v>0</v>
      </c>
      <c r="AG38" s="551">
        <f t="shared" si="8"/>
        <v>0</v>
      </c>
      <c r="AH38" s="551">
        <f t="shared" si="8"/>
        <v>0</v>
      </c>
      <c r="AI38" s="551">
        <f t="shared" si="8"/>
        <v>0</v>
      </c>
      <c r="AJ38" s="551">
        <f t="shared" si="8"/>
        <v>0</v>
      </c>
      <c r="AK38" s="551">
        <f t="shared" si="8"/>
        <v>0</v>
      </c>
      <c r="AL38" s="551">
        <f t="shared" si="8"/>
        <v>0</v>
      </c>
      <c r="AM38" s="551">
        <f t="shared" si="8"/>
        <v>0</v>
      </c>
      <c r="AN38" s="551">
        <f t="shared" si="8"/>
        <v>0</v>
      </c>
      <c r="AO38" s="551">
        <f t="shared" si="8"/>
        <v>0</v>
      </c>
      <c r="AP38" s="551">
        <f t="shared" si="8"/>
        <v>0</v>
      </c>
      <c r="AQ38" s="551">
        <f t="shared" si="8"/>
        <v>0</v>
      </c>
      <c r="AR38" s="551">
        <f t="shared" si="8"/>
        <v>0</v>
      </c>
      <c r="AS38" s="551">
        <f t="shared" si="8"/>
        <v>0</v>
      </c>
      <c r="AT38" s="552">
        <f t="shared" si="8"/>
        <v>0</v>
      </c>
    </row>
    <row r="39" spans="1:46" ht="20.399999999999999" customHeight="1" x14ac:dyDescent="0.3">
      <c r="A39" s="83"/>
      <c r="B39" s="613" t="s">
        <v>448</v>
      </c>
      <c r="C39" s="557">
        <f>+C38</f>
        <v>0</v>
      </c>
      <c r="D39" s="557">
        <f>D37+C39</f>
        <v>0</v>
      </c>
      <c r="E39" s="557">
        <f>E37+D39</f>
        <v>0</v>
      </c>
      <c r="F39" s="557">
        <f>F37+E39</f>
        <v>0</v>
      </c>
      <c r="G39" s="556">
        <f>G37+F39</f>
        <v>0</v>
      </c>
      <c r="H39" s="557">
        <f t="shared" ref="H39:AT39" si="9">IF(H24&lt;=$D$16,H37+G39,0)</f>
        <v>0</v>
      </c>
      <c r="I39" s="557">
        <f t="shared" si="9"/>
        <v>0</v>
      </c>
      <c r="J39" s="557">
        <f t="shared" si="9"/>
        <v>0</v>
      </c>
      <c r="K39" s="557">
        <f t="shared" si="9"/>
        <v>0</v>
      </c>
      <c r="L39" s="557">
        <f t="shared" si="9"/>
        <v>0</v>
      </c>
      <c r="M39" s="557">
        <f t="shared" si="9"/>
        <v>0</v>
      </c>
      <c r="N39" s="557">
        <f t="shared" si="9"/>
        <v>0</v>
      </c>
      <c r="O39" s="557">
        <f t="shared" si="9"/>
        <v>0</v>
      </c>
      <c r="P39" s="557">
        <f t="shared" si="9"/>
        <v>0</v>
      </c>
      <c r="Q39" s="557">
        <f t="shared" si="9"/>
        <v>0</v>
      </c>
      <c r="R39" s="557">
        <f t="shared" si="9"/>
        <v>0</v>
      </c>
      <c r="S39" s="557">
        <f t="shared" si="9"/>
        <v>0</v>
      </c>
      <c r="T39" s="557">
        <f t="shared" si="9"/>
        <v>0</v>
      </c>
      <c r="U39" s="557">
        <f t="shared" si="9"/>
        <v>0</v>
      </c>
      <c r="V39" s="557">
        <f t="shared" si="9"/>
        <v>0</v>
      </c>
      <c r="W39" s="557">
        <f t="shared" si="9"/>
        <v>0</v>
      </c>
      <c r="X39" s="557">
        <f t="shared" si="9"/>
        <v>0</v>
      </c>
      <c r="Y39" s="557">
        <f t="shared" si="9"/>
        <v>0</v>
      </c>
      <c r="Z39" s="557">
        <f t="shared" si="9"/>
        <v>0</v>
      </c>
      <c r="AA39" s="557">
        <f t="shared" si="9"/>
        <v>0</v>
      </c>
      <c r="AB39" s="557">
        <f t="shared" si="9"/>
        <v>0</v>
      </c>
      <c r="AC39" s="557">
        <f t="shared" si="9"/>
        <v>0</v>
      </c>
      <c r="AD39" s="557">
        <f t="shared" si="9"/>
        <v>0</v>
      </c>
      <c r="AE39" s="557">
        <f t="shared" si="9"/>
        <v>0</v>
      </c>
      <c r="AF39" s="557">
        <f t="shared" si="9"/>
        <v>0</v>
      </c>
      <c r="AG39" s="557">
        <f t="shared" si="9"/>
        <v>0</v>
      </c>
      <c r="AH39" s="557">
        <f t="shared" si="9"/>
        <v>0</v>
      </c>
      <c r="AI39" s="557">
        <f t="shared" si="9"/>
        <v>0</v>
      </c>
      <c r="AJ39" s="557">
        <f t="shared" si="9"/>
        <v>0</v>
      </c>
      <c r="AK39" s="557">
        <f t="shared" si="9"/>
        <v>0</v>
      </c>
      <c r="AL39" s="557">
        <f t="shared" si="9"/>
        <v>0</v>
      </c>
      <c r="AM39" s="557">
        <f t="shared" si="9"/>
        <v>0</v>
      </c>
      <c r="AN39" s="557">
        <f t="shared" si="9"/>
        <v>0</v>
      </c>
      <c r="AO39" s="557">
        <f t="shared" si="9"/>
        <v>0</v>
      </c>
      <c r="AP39" s="557">
        <f t="shared" si="9"/>
        <v>0</v>
      </c>
      <c r="AQ39" s="557">
        <f t="shared" si="9"/>
        <v>0</v>
      </c>
      <c r="AR39" s="557">
        <f t="shared" si="9"/>
        <v>0</v>
      </c>
      <c r="AS39" s="557">
        <f t="shared" si="9"/>
        <v>0</v>
      </c>
      <c r="AT39" s="558">
        <f t="shared" si="9"/>
        <v>0</v>
      </c>
    </row>
    <row r="40" spans="1:46" ht="20.399999999999999" customHeight="1"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ht="20.399999999999999" customHeight="1" x14ac:dyDescent="0.3">
      <c r="A41" s="83"/>
      <c r="B41" s="1022" t="s">
        <v>774</v>
      </c>
      <c r="C41" s="1022"/>
      <c r="D41" s="1022"/>
      <c r="E41" s="1022"/>
      <c r="F41" s="1022"/>
      <c r="G41" s="1022"/>
      <c r="H41" s="1022"/>
      <c r="I41" s="1022"/>
      <c r="J41" s="1022"/>
      <c r="K41" s="1022"/>
      <c r="M41" s="831" t="s">
        <v>578</v>
      </c>
      <c r="N41" s="832" t="s">
        <v>579</v>
      </c>
      <c r="O41" s="105"/>
      <c r="P41" s="1026" t="str">
        <f>"Sensitivity Results: "&amp;H14</f>
        <v>Sensitivity Results: Plant A</v>
      </c>
      <c r="Q41" s="1027"/>
      <c r="R41" s="1027"/>
      <c r="S41" s="1028"/>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399999999999999" customHeight="1" x14ac:dyDescent="0.3">
      <c r="A42" s="83"/>
      <c r="B42" s="836" t="s">
        <v>778</v>
      </c>
      <c r="C42" s="836" t="s">
        <v>782</v>
      </c>
      <c r="D42" s="837" t="s">
        <v>779</v>
      </c>
      <c r="E42" s="837" t="s">
        <v>783</v>
      </c>
      <c r="F42" s="838" t="s">
        <v>780</v>
      </c>
      <c r="G42" s="838" t="s">
        <v>781</v>
      </c>
      <c r="H42" s="839" t="s">
        <v>775</v>
      </c>
      <c r="I42" s="839" t="s">
        <v>776</v>
      </c>
      <c r="J42" s="830" t="s">
        <v>784</v>
      </c>
      <c r="K42" s="840" t="s">
        <v>785</v>
      </c>
      <c r="M42" s="906"/>
      <c r="N42" s="1018"/>
      <c r="O42" s="83"/>
      <c r="P42" s="1042">
        <f>+D43</f>
        <v>0</v>
      </c>
      <c r="Q42" s="1043"/>
      <c r="R42" s="1042">
        <f>+D44</f>
        <v>0</v>
      </c>
      <c r="S42" s="1043"/>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841"/>
      <c r="C43" s="842"/>
      <c r="D43" s="843"/>
      <c r="E43" s="844"/>
      <c r="F43" s="845"/>
      <c r="G43" s="843"/>
      <c r="H43" s="843"/>
      <c r="I43" s="843"/>
      <c r="J43" s="843"/>
      <c r="K43" s="843"/>
      <c r="M43" s="907"/>
      <c r="N43" s="1019"/>
      <c r="O43" s="83"/>
      <c r="P43" s="276" t="s">
        <v>779</v>
      </c>
      <c r="Q43" s="276" t="s">
        <v>778</v>
      </c>
      <c r="R43" s="276" t="str">
        <f>+P43</f>
        <v>Man. Var.</v>
      </c>
      <c r="S43" s="276"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841"/>
      <c r="C44" s="842"/>
      <c r="D44" s="843"/>
      <c r="E44" s="844"/>
      <c r="F44" s="845"/>
      <c r="G44" s="843"/>
      <c r="H44" s="843"/>
      <c r="I44" s="843"/>
      <c r="J44" s="843"/>
      <c r="K44" s="843"/>
      <c r="M44" s="1016" t="s">
        <v>777</v>
      </c>
      <c r="N44" s="1017"/>
      <c r="O44" s="83"/>
      <c r="P44" s="848"/>
      <c r="Q44" s="849"/>
      <c r="R44" s="850"/>
      <c r="S44" s="849"/>
      <c r="T44" s="851"/>
      <c r="U44" s="851"/>
      <c r="V44" s="851"/>
      <c r="W44" s="851"/>
      <c r="X44" s="851"/>
      <c r="Y44" s="851"/>
      <c r="Z44" s="851"/>
      <c r="AA44" s="851"/>
      <c r="AB44" s="851"/>
      <c r="AC44" s="851"/>
      <c r="AD44" s="851"/>
      <c r="AE44" s="851"/>
      <c r="AF44" s="851"/>
      <c r="AG44" s="851"/>
      <c r="AH44" s="851"/>
      <c r="AI44" s="851"/>
      <c r="AJ44" s="851"/>
      <c r="AK44" s="846"/>
    </row>
    <row r="45" spans="1:46" ht="20.399999999999999" customHeight="1" x14ac:dyDescent="0.3">
      <c r="A45" s="83"/>
      <c r="B45" s="105"/>
      <c r="C45" s="282"/>
      <c r="D45" s="282"/>
      <c r="E45" s="282"/>
      <c r="F45" s="281"/>
      <c r="M45" s="833"/>
      <c r="N45" s="834"/>
      <c r="O45" s="83"/>
      <c r="P45" s="852"/>
      <c r="Q45" s="853"/>
      <c r="R45" s="854"/>
      <c r="S45" s="853"/>
      <c r="T45" s="851"/>
      <c r="U45" s="851"/>
      <c r="V45" s="851"/>
      <c r="W45" s="851"/>
      <c r="X45" s="851"/>
      <c r="Y45" s="851"/>
      <c r="Z45" s="851"/>
      <c r="AA45" s="851"/>
      <c r="AB45" s="851"/>
      <c r="AC45" s="851"/>
      <c r="AD45" s="851"/>
      <c r="AE45" s="851"/>
      <c r="AF45" s="851"/>
      <c r="AG45" s="851"/>
      <c r="AH45" s="851"/>
      <c r="AI45" s="851"/>
      <c r="AJ45" s="851"/>
      <c r="AK45" s="846"/>
    </row>
    <row r="46" spans="1:46" ht="20.399999999999999" customHeight="1" x14ac:dyDescent="0.3">
      <c r="A46" s="83"/>
      <c r="B46" s="105"/>
      <c r="C46" s="282"/>
      <c r="D46" s="282"/>
      <c r="E46" s="282"/>
      <c r="F46" s="281"/>
      <c r="M46" s="835"/>
      <c r="N46" s="115"/>
      <c r="O46" s="83"/>
      <c r="P46" s="852"/>
      <c r="Q46" s="853"/>
      <c r="R46" s="854"/>
      <c r="S46" s="853"/>
      <c r="T46" s="851"/>
      <c r="U46" s="851"/>
      <c r="V46" s="851"/>
      <c r="W46" s="851"/>
      <c r="X46" s="851"/>
      <c r="Y46" s="851"/>
      <c r="Z46" s="851"/>
      <c r="AA46" s="851"/>
      <c r="AB46" s="851"/>
      <c r="AC46" s="851"/>
      <c r="AD46" s="851"/>
      <c r="AE46" s="851"/>
      <c r="AF46" s="851"/>
      <c r="AG46" s="851"/>
      <c r="AH46" s="851"/>
      <c r="AI46" s="851"/>
      <c r="AJ46" s="851"/>
      <c r="AK46" s="846"/>
    </row>
    <row r="47" spans="1:46" ht="20.399999999999999" customHeight="1" x14ac:dyDescent="0.3">
      <c r="A47" s="83"/>
      <c r="B47" s="105"/>
      <c r="C47" s="282"/>
      <c r="D47" s="282"/>
      <c r="E47" s="282"/>
      <c r="F47" s="281"/>
      <c r="G47" s="105"/>
      <c r="H47" s="83"/>
      <c r="I47" s="83"/>
      <c r="J47" s="83"/>
      <c r="K47" s="83"/>
      <c r="L47" s="83"/>
      <c r="M47" s="83"/>
      <c r="N47" s="83"/>
      <c r="O47" s="83"/>
      <c r="P47" s="852"/>
      <c r="Q47" s="853"/>
      <c r="R47" s="854"/>
      <c r="S47" s="853"/>
      <c r="T47" s="851"/>
      <c r="U47" s="851"/>
      <c r="V47" s="851"/>
      <c r="W47" s="851"/>
      <c r="X47" s="851"/>
      <c r="Y47" s="851"/>
      <c r="Z47" s="851"/>
      <c r="AA47" s="851"/>
      <c r="AB47" s="851"/>
      <c r="AC47" s="851"/>
      <c r="AD47" s="851"/>
      <c r="AE47" s="851"/>
      <c r="AF47" s="851"/>
      <c r="AG47" s="851"/>
      <c r="AH47" s="851"/>
      <c r="AI47" s="851"/>
      <c r="AJ47" s="851"/>
      <c r="AK47" s="846"/>
    </row>
    <row r="48" spans="1:46" ht="20.399999999999999" customHeight="1" x14ac:dyDescent="0.3">
      <c r="A48" s="83"/>
      <c r="B48" s="105"/>
      <c r="C48" s="282"/>
      <c r="D48" s="282"/>
      <c r="E48" s="282"/>
      <c r="F48" s="281"/>
      <c r="G48" s="105"/>
      <c r="H48" s="83"/>
      <c r="I48" s="83"/>
      <c r="J48" s="83"/>
      <c r="K48" s="83"/>
      <c r="L48" s="83"/>
      <c r="M48" s="83"/>
      <c r="N48" s="83"/>
      <c r="O48" s="83"/>
      <c r="P48" s="855"/>
      <c r="Q48" s="856"/>
      <c r="R48" s="857"/>
      <c r="S48" s="856"/>
      <c r="T48" s="851"/>
      <c r="U48" s="851"/>
      <c r="V48" s="851"/>
      <c r="W48" s="851"/>
      <c r="X48" s="851"/>
      <c r="Y48" s="851"/>
      <c r="Z48" s="851"/>
      <c r="AA48" s="851"/>
      <c r="AB48" s="851"/>
      <c r="AC48" s="851"/>
      <c r="AD48" s="851"/>
      <c r="AE48" s="851"/>
      <c r="AF48" s="851"/>
      <c r="AG48" s="851"/>
      <c r="AH48" s="851"/>
      <c r="AI48" s="851"/>
      <c r="AJ48" s="851"/>
      <c r="AK48" s="846"/>
    </row>
    <row r="49" spans="1:37" ht="20.399999999999999" customHeight="1" x14ac:dyDescent="0.3">
      <c r="A49" s="83"/>
      <c r="B49" s="105"/>
      <c r="C49" s="282"/>
      <c r="D49" s="283"/>
      <c r="E49" s="282"/>
      <c r="F49" s="281"/>
      <c r="G49" s="105"/>
      <c r="H49" s="83"/>
      <c r="I49" s="83"/>
      <c r="J49" s="83"/>
      <c r="K49" s="83"/>
      <c r="L49" s="83"/>
      <c r="M49" s="83"/>
      <c r="N49" s="83"/>
      <c r="O49" s="83"/>
      <c r="P49" s="854"/>
      <c r="Q49" s="854"/>
      <c r="R49" s="854"/>
      <c r="S49" s="854"/>
      <c r="T49" s="851"/>
      <c r="U49" s="851"/>
      <c r="V49" s="851"/>
      <c r="W49" s="851"/>
      <c r="X49" s="851"/>
      <c r="Y49" s="851"/>
      <c r="Z49" s="851"/>
      <c r="AA49" s="851"/>
      <c r="AB49" s="851"/>
      <c r="AC49" s="851"/>
      <c r="AD49" s="851"/>
      <c r="AE49" s="851"/>
      <c r="AF49" s="851"/>
      <c r="AG49" s="851"/>
      <c r="AH49" s="851"/>
      <c r="AI49" s="851"/>
      <c r="AJ49" s="851"/>
      <c r="AK49" s="846"/>
    </row>
    <row r="50" spans="1:37" ht="20.399999999999999" customHeight="1" x14ac:dyDescent="0.3">
      <c r="A50" s="83"/>
      <c r="B50" s="105"/>
      <c r="C50" s="282"/>
      <c r="D50" s="283"/>
      <c r="E50" s="282"/>
      <c r="F50" s="281"/>
      <c r="G50" s="105"/>
      <c r="H50" s="83"/>
      <c r="I50" s="83"/>
      <c r="J50" s="83"/>
      <c r="K50" s="83"/>
      <c r="L50" s="83"/>
      <c r="M50" s="83"/>
      <c r="N50" s="83"/>
      <c r="O50" s="83"/>
      <c r="P50" s="851"/>
      <c r="Q50" s="851"/>
      <c r="R50" s="851"/>
      <c r="S50" s="851"/>
      <c r="T50" s="851"/>
      <c r="U50" s="851"/>
      <c r="V50" s="851"/>
      <c r="W50" s="851"/>
      <c r="X50" s="851"/>
      <c r="Y50" s="851"/>
      <c r="Z50" s="851"/>
      <c r="AA50" s="851"/>
      <c r="AB50" s="851"/>
      <c r="AC50" s="851"/>
      <c r="AD50" s="851"/>
      <c r="AE50" s="851"/>
      <c r="AF50" s="851"/>
      <c r="AG50" s="851"/>
      <c r="AH50" s="851"/>
      <c r="AI50" s="851"/>
      <c r="AJ50" s="851"/>
      <c r="AK50" s="846"/>
    </row>
    <row r="51" spans="1:37" ht="20.399999999999999" customHeight="1" x14ac:dyDescent="0.3">
      <c r="A51" s="83"/>
      <c r="B51" s="105"/>
      <c r="C51" s="282"/>
      <c r="D51" s="283"/>
      <c r="E51" s="282"/>
      <c r="F51" s="281"/>
      <c r="G51" s="105"/>
      <c r="H51" s="83"/>
      <c r="I51" s="83"/>
      <c r="J51" s="83"/>
      <c r="K51" s="83"/>
      <c r="L51" s="83"/>
      <c r="M51" s="83"/>
      <c r="N51" s="83"/>
      <c r="O51" s="83"/>
      <c r="P51" s="851"/>
      <c r="Q51" s="851"/>
      <c r="R51" s="851"/>
      <c r="S51" s="851"/>
      <c r="T51" s="851"/>
      <c r="U51" s="851"/>
      <c r="V51" s="851"/>
      <c r="W51" s="851"/>
      <c r="X51" s="851"/>
      <c r="Y51" s="851"/>
      <c r="Z51" s="851"/>
      <c r="AA51" s="851"/>
      <c r="AB51" s="851"/>
      <c r="AC51" s="851"/>
      <c r="AD51" s="851"/>
      <c r="AE51" s="851"/>
      <c r="AF51" s="851"/>
      <c r="AG51" s="851"/>
      <c r="AH51" s="851"/>
      <c r="AI51" s="851"/>
      <c r="AJ51" s="851"/>
      <c r="AK51" s="846"/>
    </row>
    <row r="52" spans="1:37" ht="20.399999999999999" customHeight="1" x14ac:dyDescent="0.3">
      <c r="A52" s="83"/>
      <c r="B52" s="105"/>
      <c r="C52" s="282"/>
      <c r="D52" s="282"/>
      <c r="E52" s="282"/>
      <c r="F52" s="105"/>
      <c r="G52" s="281"/>
      <c r="H52" s="83"/>
      <c r="I52" s="83"/>
      <c r="J52" s="83"/>
      <c r="K52" s="83"/>
      <c r="L52" s="83"/>
      <c r="M52" s="83"/>
      <c r="N52" s="83"/>
      <c r="O52" s="83"/>
      <c r="P52" s="851"/>
      <c r="Q52" s="851"/>
      <c r="R52" s="851"/>
      <c r="S52" s="851"/>
      <c r="T52" s="851"/>
      <c r="U52" s="851"/>
      <c r="V52" s="851"/>
      <c r="W52" s="851"/>
      <c r="X52" s="851"/>
      <c r="Y52" s="851"/>
      <c r="Z52" s="851"/>
      <c r="AA52" s="851"/>
      <c r="AB52" s="851"/>
      <c r="AC52" s="851"/>
      <c r="AD52" s="851"/>
      <c r="AE52" s="851"/>
      <c r="AF52" s="851"/>
      <c r="AG52" s="851"/>
      <c r="AH52" s="851"/>
      <c r="AI52" s="851"/>
      <c r="AJ52" s="851"/>
      <c r="AK52" s="846"/>
    </row>
    <row r="53" spans="1:37" ht="20.399999999999999" customHeight="1" x14ac:dyDescent="0.3">
      <c r="A53" s="83"/>
      <c r="B53" s="105"/>
      <c r="C53" s="282"/>
      <c r="D53" s="282"/>
      <c r="E53" s="282"/>
      <c r="F53" s="282"/>
      <c r="G53" s="105"/>
      <c r="H53" s="83"/>
      <c r="I53" s="83"/>
      <c r="J53" s="83"/>
      <c r="K53" s="83"/>
      <c r="L53" s="83"/>
      <c r="M53" s="83"/>
      <c r="N53" s="83"/>
      <c r="O53" s="83"/>
      <c r="P53" s="851"/>
      <c r="Q53" s="851"/>
      <c r="R53" s="851"/>
      <c r="S53" s="851"/>
      <c r="T53" s="851"/>
      <c r="U53" s="851"/>
      <c r="V53" s="851"/>
      <c r="W53" s="851"/>
      <c r="X53" s="851"/>
      <c r="Y53" s="851"/>
      <c r="Z53" s="851"/>
      <c r="AA53" s="851"/>
      <c r="AB53" s="851"/>
      <c r="AC53" s="851"/>
      <c r="AD53" s="851"/>
      <c r="AE53" s="851"/>
      <c r="AF53" s="851"/>
      <c r="AG53" s="851"/>
      <c r="AH53" s="851"/>
      <c r="AI53" s="851"/>
      <c r="AJ53" s="851"/>
      <c r="AK53" s="846"/>
    </row>
    <row r="54" spans="1:37" ht="20.399999999999999" customHeight="1" x14ac:dyDescent="0.3">
      <c r="A54" s="83"/>
      <c r="B54" s="105"/>
      <c r="C54" s="282"/>
      <c r="D54" s="282"/>
      <c r="E54" s="282"/>
      <c r="F54" s="282"/>
      <c r="G54" s="105"/>
      <c r="H54" s="83"/>
      <c r="I54" s="83"/>
      <c r="J54" s="83"/>
      <c r="K54" s="83"/>
      <c r="L54" s="83"/>
      <c r="M54" s="83"/>
      <c r="N54" s="83"/>
      <c r="O54" s="83"/>
      <c r="P54" s="851"/>
      <c r="Q54" s="851"/>
      <c r="R54" s="851"/>
      <c r="S54" s="851"/>
      <c r="T54" s="851"/>
      <c r="U54" s="851"/>
      <c r="V54" s="851"/>
      <c r="W54" s="851"/>
      <c r="X54" s="851"/>
      <c r="Y54" s="851"/>
      <c r="Z54" s="851"/>
      <c r="AA54" s="851"/>
      <c r="AB54" s="851"/>
      <c r="AC54" s="851"/>
      <c r="AD54" s="851"/>
      <c r="AE54" s="851"/>
      <c r="AF54" s="851"/>
      <c r="AG54" s="851"/>
      <c r="AH54" s="851"/>
      <c r="AI54" s="851"/>
      <c r="AJ54" s="851"/>
      <c r="AK54" s="846"/>
    </row>
    <row r="55" spans="1:37" ht="20.399999999999999" customHeight="1" x14ac:dyDescent="0.3">
      <c r="A55" s="83"/>
      <c r="B55" s="105"/>
      <c r="C55" s="282"/>
      <c r="D55" s="282"/>
      <c r="E55" s="282"/>
      <c r="F55" s="282"/>
      <c r="G55" s="105"/>
      <c r="H55" s="83"/>
      <c r="I55" s="83"/>
      <c r="J55" s="83"/>
      <c r="K55" s="83"/>
      <c r="L55" s="83"/>
      <c r="M55" s="83"/>
      <c r="N55" s="83"/>
      <c r="O55" s="83"/>
      <c r="P55" s="851"/>
      <c r="Q55" s="851"/>
      <c r="R55" s="851"/>
      <c r="S55" s="851"/>
      <c r="T55" s="851"/>
      <c r="U55" s="851"/>
      <c r="V55" s="851"/>
      <c r="W55" s="851"/>
      <c r="X55" s="851"/>
      <c r="Y55" s="851"/>
      <c r="Z55" s="851"/>
      <c r="AA55" s="851"/>
      <c r="AB55" s="851"/>
      <c r="AC55" s="851"/>
      <c r="AD55" s="851"/>
      <c r="AE55" s="851"/>
      <c r="AF55" s="851"/>
      <c r="AG55" s="851"/>
      <c r="AH55" s="851"/>
      <c r="AI55" s="851"/>
      <c r="AJ55" s="851"/>
      <c r="AK55" s="846"/>
    </row>
    <row r="56" spans="1:37" ht="20.399999999999999" customHeight="1" x14ac:dyDescent="0.3">
      <c r="A56" s="83"/>
      <c r="B56" s="105"/>
      <c r="C56" s="280"/>
      <c r="D56" s="280"/>
      <c r="E56" s="280"/>
      <c r="F56" s="105"/>
      <c r="G56" s="105"/>
      <c r="H56" s="83"/>
      <c r="I56" s="83"/>
      <c r="J56" s="83"/>
      <c r="K56" s="83"/>
      <c r="L56" s="83"/>
      <c r="M56" s="83"/>
      <c r="N56" s="83"/>
      <c r="O56" s="83"/>
      <c r="P56" s="851"/>
      <c r="Q56" s="851"/>
      <c r="R56" s="851"/>
      <c r="S56" s="851"/>
      <c r="T56" s="851"/>
      <c r="U56" s="851"/>
      <c r="V56" s="851"/>
      <c r="W56" s="851"/>
      <c r="X56" s="851"/>
      <c r="Y56" s="851"/>
      <c r="Z56" s="851"/>
      <c r="AA56" s="851"/>
      <c r="AB56" s="851"/>
      <c r="AC56" s="851"/>
      <c r="AD56" s="851"/>
      <c r="AE56" s="851"/>
      <c r="AF56" s="851"/>
      <c r="AG56" s="851"/>
      <c r="AH56" s="851"/>
      <c r="AI56" s="851"/>
      <c r="AJ56" s="851"/>
      <c r="AK56" s="846"/>
    </row>
    <row r="57" spans="1:37" ht="20.399999999999999" customHeight="1" x14ac:dyDescent="0.3">
      <c r="A57" s="83"/>
      <c r="B57" s="105"/>
      <c r="C57" s="282"/>
      <c r="D57" s="282"/>
      <c r="E57" s="282"/>
      <c r="F57" s="105"/>
      <c r="G57" s="105"/>
      <c r="H57" s="83"/>
      <c r="I57" s="83"/>
      <c r="J57" s="83"/>
      <c r="K57" s="83"/>
      <c r="L57" s="83"/>
      <c r="M57" s="83"/>
      <c r="N57" s="83"/>
      <c r="O57" s="83"/>
      <c r="P57" s="851"/>
      <c r="Q57" s="851"/>
      <c r="R57" s="851"/>
      <c r="S57" s="851"/>
      <c r="T57" s="851"/>
      <c r="U57" s="851"/>
      <c r="V57" s="851"/>
      <c r="W57" s="851"/>
      <c r="X57" s="851"/>
      <c r="Y57" s="851"/>
      <c r="Z57" s="851"/>
      <c r="AA57" s="851"/>
      <c r="AB57" s="851"/>
      <c r="AC57" s="851"/>
      <c r="AD57" s="851"/>
      <c r="AE57" s="851"/>
      <c r="AF57" s="851"/>
      <c r="AG57" s="851"/>
      <c r="AH57" s="851"/>
      <c r="AI57" s="851"/>
      <c r="AJ57" s="851"/>
      <c r="AK57" s="846"/>
    </row>
    <row r="58" spans="1:37" ht="20.399999999999999" customHeight="1" x14ac:dyDescent="0.3">
      <c r="A58" s="83"/>
      <c r="B58" s="105"/>
      <c r="C58" s="282"/>
      <c r="D58" s="282"/>
      <c r="E58" s="282"/>
      <c r="F58" s="105"/>
      <c r="G58" s="105"/>
      <c r="H58" s="83"/>
      <c r="I58" s="83"/>
      <c r="J58" s="83"/>
      <c r="K58" s="83"/>
      <c r="L58" s="83"/>
      <c r="M58" s="83"/>
      <c r="N58" s="83"/>
      <c r="O58" s="83"/>
      <c r="P58" s="851"/>
      <c r="Q58" s="851"/>
      <c r="R58" s="851"/>
      <c r="S58" s="851"/>
      <c r="T58" s="851"/>
      <c r="U58" s="851"/>
      <c r="V58" s="851"/>
      <c r="W58" s="851"/>
      <c r="X58" s="851"/>
      <c r="Y58" s="851"/>
      <c r="Z58" s="851"/>
      <c r="AA58" s="851"/>
      <c r="AB58" s="851"/>
      <c r="AC58" s="851"/>
      <c r="AD58" s="851"/>
      <c r="AE58" s="851"/>
      <c r="AF58" s="851"/>
      <c r="AG58" s="851"/>
      <c r="AH58" s="851"/>
      <c r="AI58" s="851"/>
      <c r="AJ58" s="851"/>
      <c r="AK58" s="846"/>
    </row>
    <row r="59" spans="1:37" ht="20.399999999999999" customHeight="1" x14ac:dyDescent="0.3">
      <c r="A59" s="83"/>
      <c r="B59" s="105"/>
      <c r="C59" s="282"/>
      <c r="D59" s="282"/>
      <c r="E59" s="282"/>
      <c r="F59" s="105"/>
      <c r="G59" s="105"/>
      <c r="H59" s="83"/>
      <c r="I59" s="83"/>
      <c r="J59" s="83"/>
      <c r="K59" s="83"/>
      <c r="L59" s="83"/>
      <c r="M59" s="83"/>
      <c r="N59" s="83"/>
      <c r="O59" s="83"/>
      <c r="P59" s="851"/>
      <c r="Q59" s="851"/>
      <c r="R59" s="851"/>
      <c r="S59" s="851"/>
      <c r="T59" s="851"/>
      <c r="U59" s="851"/>
      <c r="V59" s="851"/>
      <c r="W59" s="851"/>
      <c r="X59" s="851"/>
      <c r="Y59" s="851"/>
      <c r="Z59" s="851"/>
      <c r="AA59" s="851"/>
      <c r="AB59" s="851"/>
      <c r="AC59" s="851"/>
      <c r="AD59" s="851"/>
      <c r="AE59" s="851"/>
      <c r="AF59" s="851"/>
      <c r="AG59" s="851"/>
      <c r="AH59" s="851"/>
      <c r="AI59" s="851"/>
      <c r="AJ59" s="851"/>
      <c r="AK59" s="846"/>
    </row>
    <row r="60" spans="1:37" ht="20.399999999999999" customHeight="1" x14ac:dyDescent="0.3">
      <c r="A60" s="83"/>
      <c r="B60" s="105"/>
      <c r="C60" s="280"/>
      <c r="D60" s="280"/>
      <c r="E60" s="280"/>
      <c r="F60" s="105"/>
      <c r="G60" s="105"/>
      <c r="H60" s="83"/>
      <c r="I60" s="83"/>
      <c r="J60" s="83"/>
      <c r="K60" s="83"/>
      <c r="L60" s="83"/>
      <c r="M60" s="83"/>
      <c r="N60" s="83"/>
      <c r="O60" s="83"/>
      <c r="P60" s="851"/>
      <c r="Q60" s="851"/>
      <c r="R60" s="851"/>
      <c r="S60" s="851"/>
      <c r="T60" s="851"/>
      <c r="U60" s="851"/>
      <c r="V60" s="851"/>
      <c r="W60" s="851"/>
      <c r="X60" s="851"/>
      <c r="Y60" s="851"/>
      <c r="Z60" s="851"/>
      <c r="AA60" s="851"/>
      <c r="AB60" s="851"/>
      <c r="AC60" s="851"/>
      <c r="AD60" s="851"/>
      <c r="AE60" s="851"/>
      <c r="AF60" s="851"/>
      <c r="AG60" s="851"/>
      <c r="AH60" s="851"/>
      <c r="AI60" s="851"/>
      <c r="AJ60" s="851"/>
      <c r="AK60" s="846"/>
    </row>
    <row r="61" spans="1:37" ht="20.399999999999999" customHeight="1" x14ac:dyDescent="0.3">
      <c r="A61" s="83"/>
      <c r="B61" s="105"/>
      <c r="C61" s="282"/>
      <c r="D61" s="282"/>
      <c r="E61" s="282"/>
      <c r="F61" s="105"/>
      <c r="G61" s="105"/>
      <c r="H61" s="83"/>
      <c r="I61" s="83"/>
      <c r="J61" s="83"/>
      <c r="K61" s="83"/>
      <c r="L61" s="83"/>
      <c r="M61" s="83"/>
      <c r="N61" s="83"/>
      <c r="O61" s="83"/>
      <c r="P61" s="851"/>
      <c r="Q61" s="851"/>
      <c r="R61" s="851"/>
      <c r="S61" s="851"/>
      <c r="T61" s="851"/>
      <c r="U61" s="851"/>
      <c r="V61" s="851"/>
      <c r="W61" s="851"/>
      <c r="X61" s="851"/>
      <c r="Y61" s="851"/>
      <c r="Z61" s="851"/>
      <c r="AA61" s="851"/>
      <c r="AB61" s="851"/>
      <c r="AC61" s="851"/>
      <c r="AD61" s="851"/>
      <c r="AE61" s="851"/>
      <c r="AF61" s="851"/>
      <c r="AG61" s="851"/>
      <c r="AH61" s="851"/>
      <c r="AI61" s="851"/>
      <c r="AJ61" s="851"/>
      <c r="AK61" s="846"/>
    </row>
    <row r="62" spans="1:37" ht="20.399999999999999" customHeight="1" x14ac:dyDescent="0.3">
      <c r="A62" s="83"/>
      <c r="B62" s="105"/>
      <c r="C62" s="105"/>
      <c r="D62" s="105"/>
      <c r="E62" s="105"/>
      <c r="F62" s="105"/>
      <c r="G62" s="105"/>
      <c r="H62" s="83"/>
      <c r="I62" s="83"/>
      <c r="J62" s="83"/>
      <c r="K62" s="83"/>
      <c r="L62" s="83"/>
      <c r="M62" s="83"/>
      <c r="N62" s="83"/>
      <c r="O62" s="83"/>
      <c r="P62" s="851"/>
      <c r="Q62" s="851"/>
      <c r="R62" s="851"/>
      <c r="S62" s="851"/>
      <c r="T62" s="851"/>
      <c r="U62" s="851"/>
      <c r="V62" s="851"/>
      <c r="W62" s="851"/>
      <c r="X62" s="851"/>
      <c r="Y62" s="851"/>
      <c r="Z62" s="851"/>
      <c r="AA62" s="851"/>
      <c r="AB62" s="851"/>
      <c r="AC62" s="851"/>
      <c r="AD62" s="851"/>
      <c r="AE62" s="851"/>
      <c r="AF62" s="851"/>
      <c r="AG62" s="851"/>
      <c r="AH62" s="851"/>
      <c r="AI62" s="851"/>
      <c r="AJ62" s="851"/>
      <c r="AK62" s="846"/>
    </row>
    <row r="63" spans="1:37" ht="20.399999999999999" customHeight="1" x14ac:dyDescent="0.3">
      <c r="A63" s="83"/>
      <c r="B63" s="105"/>
      <c r="C63" s="105"/>
      <c r="D63" s="105"/>
      <c r="E63" s="105"/>
      <c r="F63" s="105"/>
      <c r="G63" s="105"/>
      <c r="H63" s="83"/>
      <c r="I63" s="83"/>
      <c r="J63" s="83"/>
      <c r="K63" s="83"/>
      <c r="L63" s="83"/>
      <c r="M63" s="83"/>
      <c r="N63" s="83"/>
      <c r="O63" s="83"/>
      <c r="P63" s="851"/>
      <c r="Q63" s="851"/>
      <c r="R63" s="851"/>
      <c r="S63" s="851"/>
      <c r="T63" s="851"/>
      <c r="U63" s="851"/>
      <c r="V63" s="851"/>
      <c r="W63" s="851"/>
      <c r="X63" s="851"/>
      <c r="Y63" s="851"/>
      <c r="Z63" s="851"/>
      <c r="AA63" s="851"/>
      <c r="AB63" s="851"/>
      <c r="AC63" s="851"/>
      <c r="AD63" s="851"/>
      <c r="AE63" s="851"/>
      <c r="AF63" s="851"/>
      <c r="AG63" s="851"/>
      <c r="AH63" s="851"/>
      <c r="AI63" s="851"/>
      <c r="AJ63" s="851"/>
      <c r="AK63" s="846"/>
    </row>
    <row r="64" spans="1:37" ht="20.399999999999999" customHeight="1" x14ac:dyDescent="0.3">
      <c r="A64" s="83"/>
      <c r="B64" s="83"/>
      <c r="C64" s="83"/>
      <c r="D64" s="83"/>
      <c r="E64" s="83"/>
      <c r="F64" s="83"/>
      <c r="G64" s="83"/>
      <c r="H64" s="83"/>
      <c r="I64" s="83"/>
      <c r="J64" s="83"/>
      <c r="K64" s="83"/>
      <c r="L64" s="83"/>
      <c r="M64" s="83"/>
      <c r="N64" s="83"/>
      <c r="O64" s="83"/>
      <c r="P64" s="851"/>
      <c r="Q64" s="851"/>
      <c r="R64" s="851"/>
      <c r="S64" s="851"/>
      <c r="T64" s="851"/>
      <c r="U64" s="851"/>
      <c r="V64" s="851"/>
      <c r="W64" s="851"/>
      <c r="X64" s="851"/>
      <c r="Y64" s="851"/>
      <c r="Z64" s="851"/>
      <c r="AA64" s="851"/>
      <c r="AB64" s="851"/>
      <c r="AC64" s="851"/>
      <c r="AD64" s="851"/>
      <c r="AE64" s="851"/>
      <c r="AF64" s="851"/>
      <c r="AG64" s="851"/>
      <c r="AH64" s="851"/>
      <c r="AI64" s="851"/>
      <c r="AJ64" s="851"/>
      <c r="AK64" s="846"/>
    </row>
    <row r="65" spans="1:37" ht="20.399999999999999" customHeight="1" x14ac:dyDescent="0.3">
      <c r="A65" s="83"/>
      <c r="B65" s="83"/>
      <c r="C65" s="83"/>
      <c r="D65" s="83"/>
      <c r="E65" s="83"/>
      <c r="F65" s="83"/>
      <c r="G65" s="83"/>
      <c r="H65" s="83"/>
      <c r="I65" s="83"/>
      <c r="J65" s="83"/>
      <c r="K65" s="83"/>
      <c r="L65" s="83"/>
      <c r="M65" s="83"/>
      <c r="N65" s="83"/>
      <c r="O65" s="83"/>
      <c r="P65" s="851"/>
      <c r="Q65" s="851"/>
      <c r="R65" s="851"/>
      <c r="S65" s="851"/>
      <c r="T65" s="851"/>
      <c r="U65" s="851"/>
      <c r="V65" s="851"/>
      <c r="W65" s="851"/>
      <c r="X65" s="851"/>
      <c r="Y65" s="851"/>
      <c r="Z65" s="851"/>
      <c r="AA65" s="851"/>
      <c r="AB65" s="851"/>
      <c r="AC65" s="851"/>
      <c r="AD65" s="851"/>
      <c r="AE65" s="851"/>
      <c r="AF65" s="851"/>
      <c r="AG65" s="851"/>
      <c r="AH65" s="851"/>
      <c r="AI65" s="851"/>
      <c r="AJ65" s="851"/>
      <c r="AK65" s="846"/>
    </row>
    <row r="66" spans="1:37" ht="20.399999999999999" customHeight="1" x14ac:dyDescent="0.3">
      <c r="A66" s="83"/>
      <c r="B66" s="83"/>
      <c r="C66" s="83"/>
      <c r="D66" s="83"/>
      <c r="E66" s="83"/>
      <c r="F66" s="83"/>
      <c r="G66" s="83"/>
      <c r="H66" s="83"/>
      <c r="I66" s="83"/>
      <c r="J66" s="83"/>
      <c r="K66" s="83"/>
      <c r="L66" s="83"/>
      <c r="M66" s="83"/>
      <c r="N66" s="83"/>
      <c r="O66" s="83"/>
      <c r="P66" s="851"/>
      <c r="Q66" s="851"/>
      <c r="R66" s="851"/>
      <c r="S66" s="851"/>
      <c r="T66" s="851"/>
      <c r="U66" s="851"/>
      <c r="V66" s="851"/>
      <c r="W66" s="851"/>
      <c r="X66" s="851"/>
      <c r="Y66" s="851"/>
      <c r="Z66" s="851"/>
      <c r="AA66" s="851"/>
      <c r="AB66" s="851"/>
      <c r="AC66" s="851"/>
      <c r="AD66" s="851"/>
      <c r="AE66" s="851"/>
      <c r="AF66" s="851"/>
      <c r="AG66" s="851"/>
      <c r="AH66" s="851"/>
      <c r="AI66" s="851"/>
      <c r="AJ66" s="851"/>
      <c r="AK66" s="846"/>
    </row>
    <row r="67" spans="1:37" ht="20.399999999999999" customHeight="1" x14ac:dyDescent="0.3">
      <c r="A67" s="83"/>
      <c r="B67" s="83"/>
      <c r="C67" s="83"/>
      <c r="D67" s="83"/>
      <c r="E67" s="83"/>
      <c r="F67" s="83"/>
      <c r="G67" s="83"/>
      <c r="H67" s="83"/>
      <c r="I67" s="83"/>
      <c r="J67" s="83"/>
      <c r="K67" s="83"/>
      <c r="L67" s="83"/>
      <c r="M67" s="83"/>
      <c r="N67" s="83"/>
      <c r="O67" s="83"/>
      <c r="P67" s="851"/>
      <c r="Q67" s="851"/>
      <c r="R67" s="851"/>
      <c r="S67" s="851"/>
      <c r="T67" s="851"/>
      <c r="U67" s="851"/>
      <c r="V67" s="851"/>
      <c r="W67" s="851"/>
      <c r="X67" s="851"/>
      <c r="Y67" s="851"/>
      <c r="Z67" s="851"/>
      <c r="AA67" s="851"/>
      <c r="AB67" s="851"/>
      <c r="AC67" s="851"/>
      <c r="AD67" s="851"/>
      <c r="AE67" s="851"/>
      <c r="AF67" s="851"/>
      <c r="AG67" s="851"/>
      <c r="AH67" s="851"/>
      <c r="AI67" s="851"/>
      <c r="AJ67" s="851"/>
      <c r="AK67" s="846"/>
    </row>
    <row r="68" spans="1:37" ht="20.399999999999999" customHeight="1" x14ac:dyDescent="0.3">
      <c r="A68" s="83"/>
      <c r="B68" s="83"/>
      <c r="C68" s="83"/>
      <c r="D68" s="83"/>
      <c r="E68" s="83"/>
      <c r="F68" s="83"/>
      <c r="G68" s="83"/>
      <c r="H68" s="83"/>
      <c r="I68" s="83"/>
      <c r="J68" s="83"/>
      <c r="K68" s="83"/>
      <c r="L68" s="83"/>
      <c r="M68" s="83"/>
      <c r="N68" s="83"/>
      <c r="O68" s="83"/>
      <c r="P68" s="851"/>
      <c r="Q68" s="851"/>
      <c r="R68" s="851"/>
      <c r="S68" s="851"/>
      <c r="T68" s="851"/>
      <c r="U68" s="851"/>
      <c r="V68" s="851"/>
      <c r="W68" s="851"/>
      <c r="X68" s="851"/>
      <c r="Y68" s="851"/>
      <c r="Z68" s="851"/>
      <c r="AA68" s="851"/>
      <c r="AB68" s="851"/>
      <c r="AC68" s="851"/>
      <c r="AD68" s="851"/>
      <c r="AE68" s="851"/>
      <c r="AF68" s="851"/>
      <c r="AG68" s="851"/>
      <c r="AH68" s="851"/>
      <c r="AI68" s="851"/>
      <c r="AJ68" s="851"/>
      <c r="AK68" s="846"/>
    </row>
    <row r="69" spans="1:37" ht="20.399999999999999" customHeight="1" x14ac:dyDescent="0.3">
      <c r="A69" s="83"/>
      <c r="B69" s="83"/>
      <c r="C69" s="83"/>
      <c r="D69" s="83"/>
      <c r="E69" s="83"/>
      <c r="F69" s="83"/>
      <c r="G69" s="83"/>
      <c r="H69" s="83"/>
      <c r="I69" s="83"/>
      <c r="J69" s="83"/>
      <c r="K69" s="83"/>
      <c r="L69" s="83"/>
      <c r="M69" s="83"/>
      <c r="N69" s="83"/>
      <c r="O69" s="83"/>
      <c r="P69" s="851"/>
      <c r="Q69" s="851"/>
      <c r="R69" s="851"/>
      <c r="S69" s="851"/>
      <c r="T69" s="851"/>
      <c r="U69" s="851"/>
      <c r="V69" s="851"/>
      <c r="W69" s="851"/>
      <c r="X69" s="851"/>
      <c r="Y69" s="851"/>
      <c r="Z69" s="851"/>
      <c r="AA69" s="851"/>
      <c r="AB69" s="851"/>
      <c r="AC69" s="851"/>
      <c r="AD69" s="851"/>
      <c r="AE69" s="851"/>
      <c r="AF69" s="851"/>
      <c r="AG69" s="851"/>
      <c r="AH69" s="851"/>
      <c r="AI69" s="851"/>
      <c r="AJ69" s="851"/>
      <c r="AK69" s="846"/>
    </row>
    <row r="70" spans="1:37" ht="20.399999999999999" customHeight="1" x14ac:dyDescent="0.3">
      <c r="A70" s="83"/>
      <c r="B70" s="83"/>
      <c r="C70" s="83"/>
      <c r="D70" s="83"/>
      <c r="E70" s="83"/>
      <c r="F70" s="83"/>
      <c r="G70" s="83"/>
      <c r="H70" s="83"/>
      <c r="I70" s="83"/>
      <c r="J70" s="83"/>
      <c r="K70" s="83"/>
      <c r="L70" s="83"/>
      <c r="M70" s="83"/>
      <c r="N70" s="83"/>
      <c r="O70" s="83"/>
      <c r="P70" s="851"/>
      <c r="Q70" s="851"/>
      <c r="R70" s="851"/>
      <c r="S70" s="851"/>
      <c r="T70" s="851"/>
      <c r="U70" s="851"/>
      <c r="V70" s="851"/>
      <c r="W70" s="851"/>
      <c r="X70" s="851"/>
      <c r="Y70" s="851"/>
      <c r="Z70" s="851"/>
      <c r="AA70" s="851"/>
      <c r="AB70" s="851"/>
      <c r="AC70" s="851"/>
      <c r="AD70" s="851"/>
      <c r="AE70" s="851"/>
      <c r="AF70" s="851"/>
      <c r="AG70" s="851"/>
      <c r="AH70" s="851"/>
      <c r="AI70" s="851"/>
      <c r="AJ70" s="851"/>
      <c r="AK70" s="846"/>
    </row>
    <row r="71" spans="1:37" ht="20.399999999999999" customHeight="1" x14ac:dyDescent="0.3">
      <c r="A71" s="83"/>
      <c r="B71" s="83"/>
      <c r="C71" s="83"/>
      <c r="D71" s="83"/>
      <c r="E71" s="83"/>
      <c r="F71" s="83"/>
      <c r="G71" s="83"/>
      <c r="H71" s="83"/>
      <c r="I71" s="83"/>
      <c r="J71" s="83"/>
      <c r="K71" s="83"/>
      <c r="L71" s="83"/>
      <c r="M71" s="83"/>
      <c r="N71" s="83"/>
      <c r="O71" s="83"/>
      <c r="P71" s="851"/>
      <c r="Q71" s="851"/>
      <c r="R71" s="851"/>
      <c r="S71" s="851"/>
      <c r="T71" s="851"/>
      <c r="U71" s="851"/>
      <c r="V71" s="851"/>
      <c r="W71" s="851"/>
      <c r="X71" s="851"/>
      <c r="Y71" s="851"/>
      <c r="Z71" s="851"/>
      <c r="AA71" s="851"/>
      <c r="AB71" s="851"/>
      <c r="AC71" s="851"/>
      <c r="AD71" s="851"/>
      <c r="AE71" s="851"/>
      <c r="AF71" s="851"/>
      <c r="AG71" s="851"/>
      <c r="AH71" s="851"/>
      <c r="AI71" s="851"/>
      <c r="AJ71" s="851"/>
      <c r="AK71" s="846"/>
    </row>
    <row r="72" spans="1:37" ht="20.399999999999999" customHeight="1" x14ac:dyDescent="0.3">
      <c r="A72" s="83"/>
      <c r="B72" s="83"/>
      <c r="C72" s="83"/>
      <c r="D72" s="83"/>
      <c r="E72" s="83"/>
      <c r="F72" s="83"/>
      <c r="G72" s="83"/>
      <c r="H72" s="83"/>
      <c r="I72" s="83"/>
      <c r="J72" s="83"/>
      <c r="K72" s="83"/>
      <c r="L72" s="83"/>
      <c r="M72" s="83"/>
      <c r="N72" s="83"/>
      <c r="O72" s="83"/>
      <c r="P72" s="851"/>
      <c r="Q72" s="851"/>
      <c r="R72" s="851"/>
      <c r="S72" s="851"/>
      <c r="T72" s="851"/>
      <c r="U72" s="851"/>
      <c r="V72" s="851"/>
      <c r="W72" s="851"/>
      <c r="X72" s="851"/>
      <c r="Y72" s="851"/>
      <c r="Z72" s="851"/>
      <c r="AA72" s="851"/>
      <c r="AB72" s="851"/>
      <c r="AC72" s="851"/>
      <c r="AD72" s="851"/>
      <c r="AE72" s="851"/>
      <c r="AF72" s="851"/>
      <c r="AG72" s="851"/>
      <c r="AH72" s="851"/>
      <c r="AI72" s="851"/>
      <c r="AJ72" s="851"/>
      <c r="AK72" s="846"/>
    </row>
    <row r="73" spans="1:37" ht="20.399999999999999" customHeight="1" x14ac:dyDescent="0.3">
      <c r="A73" s="83"/>
      <c r="B73" s="83"/>
      <c r="C73" s="83"/>
      <c r="D73" s="83"/>
      <c r="E73" s="83"/>
      <c r="F73" s="83"/>
      <c r="G73" s="83"/>
      <c r="H73" s="83"/>
      <c r="I73" s="83"/>
      <c r="J73" s="83"/>
      <c r="K73" s="83"/>
      <c r="L73" s="83"/>
      <c r="M73" s="83"/>
      <c r="N73" s="83"/>
      <c r="O73" s="83"/>
      <c r="P73" s="851"/>
      <c r="Q73" s="851"/>
      <c r="R73" s="851"/>
      <c r="S73" s="851"/>
      <c r="T73" s="851"/>
      <c r="U73" s="851"/>
      <c r="V73" s="851"/>
      <c r="W73" s="851"/>
      <c r="X73" s="851"/>
      <c r="Y73" s="851"/>
      <c r="Z73" s="851"/>
      <c r="AA73" s="851"/>
      <c r="AB73" s="851"/>
      <c r="AC73" s="851"/>
      <c r="AD73" s="851"/>
      <c r="AE73" s="851"/>
      <c r="AF73" s="851"/>
      <c r="AG73" s="851"/>
      <c r="AH73" s="851"/>
      <c r="AI73" s="851"/>
      <c r="AJ73" s="851"/>
      <c r="AK73" s="846"/>
    </row>
    <row r="74" spans="1:37" ht="20.399999999999999" customHeight="1" x14ac:dyDescent="0.3">
      <c r="A74" s="83"/>
      <c r="B74" s="83"/>
      <c r="C74" s="83"/>
      <c r="D74" s="83"/>
      <c r="E74" s="83"/>
      <c r="F74" s="83"/>
      <c r="G74" s="83"/>
      <c r="H74" s="83"/>
      <c r="I74" s="83"/>
      <c r="J74" s="83"/>
      <c r="K74" s="83"/>
      <c r="L74" s="83"/>
      <c r="M74" s="83"/>
      <c r="N74" s="83"/>
      <c r="O74" s="83"/>
      <c r="P74" s="851"/>
      <c r="Q74" s="851"/>
      <c r="R74" s="851"/>
      <c r="S74" s="851"/>
      <c r="T74" s="851"/>
      <c r="U74" s="851"/>
      <c r="V74" s="851"/>
      <c r="W74" s="851"/>
      <c r="X74" s="851"/>
      <c r="Y74" s="851"/>
      <c r="Z74" s="851"/>
      <c r="AA74" s="851"/>
      <c r="AB74" s="851"/>
      <c r="AC74" s="851"/>
      <c r="AD74" s="851"/>
      <c r="AE74" s="851"/>
      <c r="AF74" s="851"/>
      <c r="AG74" s="851"/>
      <c r="AH74" s="851"/>
      <c r="AI74" s="851"/>
      <c r="AJ74" s="851"/>
      <c r="AK74" s="846"/>
    </row>
    <row r="75" spans="1:37" ht="20.399999999999999" customHeight="1" x14ac:dyDescent="0.3">
      <c r="A75" s="83"/>
      <c r="B75" s="83"/>
      <c r="C75" s="83"/>
      <c r="D75" s="83"/>
      <c r="E75" s="83"/>
      <c r="F75" s="83"/>
      <c r="G75" s="83"/>
      <c r="H75" s="83"/>
      <c r="I75" s="83"/>
      <c r="J75" s="83"/>
      <c r="K75" s="83"/>
      <c r="L75" s="83"/>
      <c r="M75" s="83"/>
      <c r="N75" s="83"/>
      <c r="O75" s="83"/>
      <c r="P75" s="851"/>
      <c r="Q75" s="851"/>
      <c r="R75" s="851"/>
      <c r="S75" s="851"/>
      <c r="T75" s="851"/>
      <c r="U75" s="851"/>
      <c r="V75" s="851"/>
      <c r="W75" s="851"/>
      <c r="X75" s="851"/>
      <c r="Y75" s="851"/>
      <c r="Z75" s="851"/>
      <c r="AA75" s="851"/>
      <c r="AB75" s="851"/>
      <c r="AC75" s="851"/>
      <c r="AD75" s="851"/>
      <c r="AE75" s="851"/>
      <c r="AF75" s="851"/>
      <c r="AG75" s="851"/>
      <c r="AH75" s="851"/>
      <c r="AI75" s="851"/>
      <c r="AJ75" s="851"/>
      <c r="AK75" s="846"/>
    </row>
    <row r="76" spans="1:37" ht="20.399999999999999" customHeight="1" x14ac:dyDescent="0.3">
      <c r="A76" s="83"/>
      <c r="B76" s="83"/>
      <c r="C76" s="83"/>
      <c r="D76" s="83"/>
      <c r="E76" s="83"/>
      <c r="F76" s="83"/>
      <c r="G76" s="83"/>
      <c r="H76" s="83"/>
      <c r="I76" s="83"/>
      <c r="J76" s="83"/>
      <c r="K76" s="83"/>
      <c r="L76" s="83"/>
      <c r="M76" s="83"/>
      <c r="N76" s="83"/>
      <c r="O76" s="83"/>
      <c r="P76" s="851"/>
      <c r="Q76" s="851"/>
      <c r="R76" s="851"/>
      <c r="S76" s="851"/>
      <c r="T76" s="851"/>
      <c r="U76" s="851"/>
      <c r="V76" s="851"/>
      <c r="W76" s="851"/>
      <c r="X76" s="851"/>
      <c r="Y76" s="851"/>
      <c r="Z76" s="851"/>
      <c r="AA76" s="851"/>
      <c r="AB76" s="851"/>
      <c r="AC76" s="851"/>
      <c r="AD76" s="851"/>
      <c r="AE76" s="851"/>
      <c r="AF76" s="851"/>
      <c r="AG76" s="851"/>
      <c r="AH76" s="851"/>
      <c r="AI76" s="851"/>
      <c r="AJ76" s="851"/>
      <c r="AK76" s="846"/>
    </row>
    <row r="77" spans="1:37" ht="20.399999999999999" customHeight="1" x14ac:dyDescent="0.3">
      <c r="A77" s="83"/>
      <c r="B77" s="83"/>
      <c r="C77" s="83"/>
      <c r="D77" s="83"/>
      <c r="E77" s="83"/>
      <c r="F77" s="83"/>
      <c r="G77" s="83"/>
      <c r="H77" s="83"/>
      <c r="I77" s="83"/>
      <c r="J77" s="83"/>
      <c r="K77" s="83"/>
      <c r="L77" s="83"/>
      <c r="M77" s="83"/>
      <c r="N77" s="83"/>
      <c r="O77" s="83"/>
      <c r="P77" s="851"/>
      <c r="Q77" s="851"/>
      <c r="R77" s="851"/>
      <c r="S77" s="851"/>
      <c r="T77" s="851"/>
      <c r="U77" s="851"/>
      <c r="V77" s="851"/>
      <c r="W77" s="851"/>
      <c r="X77" s="851"/>
      <c r="Y77" s="851"/>
      <c r="Z77" s="851"/>
      <c r="AA77" s="851"/>
      <c r="AB77" s="851"/>
      <c r="AC77" s="851"/>
      <c r="AD77" s="851"/>
      <c r="AE77" s="851"/>
      <c r="AF77" s="851"/>
      <c r="AG77" s="851"/>
      <c r="AH77" s="851"/>
      <c r="AI77" s="851"/>
      <c r="AJ77" s="851"/>
      <c r="AK77" s="846"/>
    </row>
    <row r="78" spans="1:37" ht="20.399999999999999" customHeight="1" x14ac:dyDescent="0.3">
      <c r="A78" s="83"/>
      <c r="B78" s="83"/>
      <c r="C78" s="83"/>
      <c r="D78" s="83"/>
      <c r="E78" s="83"/>
      <c r="F78" s="83"/>
      <c r="G78" s="83"/>
      <c r="H78" s="83"/>
      <c r="I78" s="83"/>
      <c r="J78" s="83"/>
      <c r="K78" s="83"/>
      <c r="L78" s="83"/>
      <c r="M78" s="83"/>
      <c r="N78" s="83"/>
      <c r="O78" s="83"/>
      <c r="P78" s="851"/>
      <c r="Q78" s="851"/>
      <c r="R78" s="851"/>
      <c r="S78" s="851"/>
      <c r="T78" s="851"/>
      <c r="U78" s="851"/>
      <c r="V78" s="851"/>
      <c r="W78" s="851"/>
      <c r="X78" s="851"/>
      <c r="Y78" s="851"/>
      <c r="Z78" s="851"/>
      <c r="AA78" s="851"/>
      <c r="AB78" s="851"/>
      <c r="AC78" s="851"/>
      <c r="AD78" s="851"/>
      <c r="AE78" s="851"/>
      <c r="AF78" s="851"/>
      <c r="AG78" s="851"/>
      <c r="AH78" s="851"/>
      <c r="AI78" s="851"/>
      <c r="AJ78" s="851"/>
      <c r="AK78" s="846"/>
    </row>
    <row r="79" spans="1:37" ht="20.399999999999999" customHeight="1" x14ac:dyDescent="0.3">
      <c r="A79" s="83"/>
      <c r="B79" s="83"/>
      <c r="C79" s="83"/>
      <c r="D79" s="83"/>
      <c r="E79" s="83"/>
      <c r="F79" s="83"/>
      <c r="G79" s="83"/>
      <c r="H79" s="83"/>
      <c r="I79" s="83"/>
      <c r="J79" s="83"/>
      <c r="K79" s="83"/>
      <c r="L79" s="83"/>
      <c r="M79" s="83"/>
      <c r="N79" s="83"/>
      <c r="O79" s="83"/>
      <c r="P79" s="851"/>
      <c r="Q79" s="851"/>
      <c r="R79" s="851"/>
      <c r="S79" s="851"/>
      <c r="T79" s="851"/>
      <c r="U79" s="851"/>
      <c r="V79" s="851"/>
      <c r="W79" s="851"/>
      <c r="X79" s="851"/>
      <c r="Y79" s="851"/>
      <c r="Z79" s="851"/>
      <c r="AA79" s="851"/>
      <c r="AB79" s="851"/>
      <c r="AC79" s="851"/>
      <c r="AD79" s="851"/>
      <c r="AE79" s="851"/>
      <c r="AF79" s="851"/>
      <c r="AG79" s="851"/>
      <c r="AH79" s="851"/>
      <c r="AI79" s="851"/>
      <c r="AJ79" s="851"/>
      <c r="AK79" s="846"/>
    </row>
    <row r="80" spans="1:37" ht="20.399999999999999" customHeight="1" x14ac:dyDescent="0.3">
      <c r="A80" s="83"/>
      <c r="B80" s="83"/>
      <c r="C80" s="83"/>
      <c r="D80" s="83"/>
      <c r="E80" s="83"/>
      <c r="F80" s="83"/>
      <c r="G80" s="83"/>
      <c r="H80" s="83"/>
      <c r="I80" s="83"/>
      <c r="J80" s="83"/>
      <c r="K80" s="83"/>
      <c r="L80" s="83"/>
      <c r="M80" s="83"/>
      <c r="N80" s="83"/>
      <c r="O80" s="83"/>
      <c r="P80" s="851"/>
      <c r="Q80" s="851"/>
      <c r="R80" s="851"/>
      <c r="S80" s="851"/>
      <c r="T80" s="851"/>
      <c r="U80" s="851"/>
      <c r="V80" s="851"/>
      <c r="W80" s="851"/>
      <c r="X80" s="851"/>
      <c r="Y80" s="851"/>
      <c r="Z80" s="851"/>
      <c r="AA80" s="851"/>
      <c r="AB80" s="851"/>
      <c r="AC80" s="851"/>
      <c r="AD80" s="851"/>
      <c r="AE80" s="851"/>
      <c r="AF80" s="851"/>
      <c r="AG80" s="851"/>
      <c r="AH80" s="851"/>
      <c r="AI80" s="851"/>
      <c r="AJ80" s="851"/>
      <c r="AK80" s="846"/>
    </row>
    <row r="81" spans="1:37" ht="20.399999999999999" customHeight="1" x14ac:dyDescent="0.3">
      <c r="A81" s="83"/>
      <c r="B81" s="83"/>
      <c r="C81" s="83"/>
      <c r="D81" s="83"/>
      <c r="E81" s="83"/>
      <c r="F81" s="83"/>
      <c r="G81" s="83"/>
      <c r="H81" s="83"/>
      <c r="I81" s="83"/>
      <c r="J81" s="83"/>
      <c r="K81" s="83"/>
      <c r="L81" s="83"/>
      <c r="M81" s="83"/>
      <c r="N81" s="83"/>
      <c r="O81" s="83"/>
      <c r="P81" s="851"/>
      <c r="Q81" s="851"/>
      <c r="R81" s="851"/>
      <c r="S81" s="851"/>
      <c r="T81" s="851"/>
      <c r="U81" s="851"/>
      <c r="V81" s="851"/>
      <c r="W81" s="851"/>
      <c r="X81" s="851"/>
      <c r="Y81" s="851"/>
      <c r="Z81" s="851"/>
      <c r="AA81" s="851"/>
      <c r="AB81" s="851"/>
      <c r="AC81" s="851"/>
      <c r="AD81" s="851"/>
      <c r="AE81" s="851"/>
      <c r="AF81" s="851"/>
      <c r="AG81" s="851"/>
      <c r="AH81" s="851"/>
      <c r="AI81" s="851"/>
      <c r="AJ81" s="851"/>
      <c r="AK81" s="846"/>
    </row>
    <row r="82" spans="1:37" ht="20.399999999999999" customHeight="1" x14ac:dyDescent="0.3">
      <c r="A82" s="83"/>
      <c r="B82" s="83"/>
      <c r="C82" s="83"/>
      <c r="D82" s="83"/>
      <c r="E82" s="83"/>
      <c r="F82" s="83"/>
      <c r="G82" s="83"/>
      <c r="H82" s="83"/>
      <c r="I82" s="83"/>
      <c r="J82" s="83"/>
      <c r="K82" s="83"/>
      <c r="L82" s="83"/>
      <c r="M82" s="83"/>
      <c r="N82" s="83"/>
      <c r="O82" s="83"/>
      <c r="P82" s="851"/>
      <c r="Q82" s="851"/>
      <c r="R82" s="851"/>
      <c r="S82" s="851"/>
      <c r="T82" s="851"/>
      <c r="U82" s="851"/>
      <c r="V82" s="851"/>
      <c r="W82" s="851"/>
      <c r="X82" s="851"/>
      <c r="Y82" s="851"/>
      <c r="Z82" s="851"/>
      <c r="AA82" s="851"/>
      <c r="AB82" s="851"/>
      <c r="AC82" s="851"/>
      <c r="AD82" s="851"/>
      <c r="AE82" s="851"/>
      <c r="AF82" s="851"/>
      <c r="AG82" s="851"/>
      <c r="AH82" s="851"/>
      <c r="AI82" s="851"/>
      <c r="AJ82" s="851"/>
      <c r="AK82" s="846"/>
    </row>
    <row r="83" spans="1:37" ht="20.399999999999999" customHeight="1" x14ac:dyDescent="0.3">
      <c r="A83" s="83"/>
      <c r="B83" s="83"/>
      <c r="C83" s="83"/>
      <c r="D83" s="83"/>
      <c r="E83" s="83"/>
      <c r="F83" s="83"/>
      <c r="G83" s="83"/>
      <c r="H83" s="83"/>
      <c r="I83" s="83"/>
      <c r="J83" s="83"/>
      <c r="K83" s="83"/>
      <c r="L83" s="83"/>
      <c r="M83" s="83"/>
      <c r="N83" s="83"/>
      <c r="O83" s="83"/>
      <c r="P83" s="851"/>
      <c r="Q83" s="851"/>
      <c r="R83" s="851"/>
      <c r="S83" s="851"/>
      <c r="T83" s="851"/>
      <c r="U83" s="851"/>
      <c r="V83" s="851"/>
      <c r="W83" s="851"/>
      <c r="X83" s="851"/>
      <c r="Y83" s="851"/>
      <c r="Z83" s="851"/>
      <c r="AA83" s="851"/>
      <c r="AB83" s="851"/>
      <c r="AC83" s="851"/>
      <c r="AD83" s="851"/>
      <c r="AE83" s="851"/>
      <c r="AF83" s="851"/>
      <c r="AG83" s="851"/>
      <c r="AH83" s="851"/>
      <c r="AI83" s="851"/>
      <c r="AJ83" s="851"/>
      <c r="AK83" s="846"/>
    </row>
    <row r="84" spans="1:37" ht="20.399999999999999" customHeight="1" x14ac:dyDescent="0.3">
      <c r="A84" s="83"/>
      <c r="B84" s="83"/>
      <c r="C84" s="83"/>
      <c r="D84" s="83"/>
      <c r="E84" s="83"/>
      <c r="F84" s="83"/>
      <c r="G84" s="83"/>
      <c r="H84" s="83"/>
      <c r="I84" s="83"/>
      <c r="J84" s="83"/>
      <c r="K84" s="83"/>
      <c r="L84" s="83"/>
      <c r="M84" s="83"/>
      <c r="N84" s="83"/>
      <c r="O84" s="83"/>
      <c r="P84" s="851"/>
      <c r="Q84" s="851"/>
      <c r="R84" s="851"/>
      <c r="S84" s="851"/>
      <c r="T84" s="851"/>
      <c r="U84" s="851"/>
      <c r="V84" s="851"/>
      <c r="W84" s="851"/>
      <c r="X84" s="851"/>
      <c r="Y84" s="851"/>
      <c r="Z84" s="851"/>
      <c r="AA84" s="851"/>
      <c r="AB84" s="851"/>
      <c r="AC84" s="851"/>
      <c r="AD84" s="851"/>
      <c r="AE84" s="851"/>
      <c r="AF84" s="851"/>
      <c r="AG84" s="851"/>
      <c r="AH84" s="851"/>
      <c r="AI84" s="851"/>
      <c r="AJ84" s="851"/>
      <c r="AK84" s="846"/>
    </row>
    <row r="85" spans="1:37" ht="20.399999999999999" customHeight="1" x14ac:dyDescent="0.3">
      <c r="A85" s="83"/>
      <c r="B85" s="83"/>
      <c r="C85" s="83"/>
      <c r="D85" s="83"/>
      <c r="E85" s="83"/>
      <c r="F85" s="83"/>
      <c r="G85" s="83"/>
      <c r="H85" s="83"/>
      <c r="I85" s="83"/>
      <c r="J85" s="83"/>
      <c r="K85" s="83"/>
      <c r="L85" s="83"/>
      <c r="M85" s="83"/>
      <c r="N85" s="83"/>
      <c r="O85" s="83"/>
      <c r="P85" s="851"/>
      <c r="Q85" s="851"/>
      <c r="R85" s="851"/>
      <c r="S85" s="851"/>
      <c r="T85" s="851"/>
      <c r="U85" s="851"/>
      <c r="V85" s="851"/>
      <c r="W85" s="851"/>
      <c r="X85" s="851"/>
      <c r="Y85" s="851"/>
      <c r="Z85" s="851"/>
      <c r="AA85" s="851"/>
      <c r="AB85" s="851"/>
      <c r="AC85" s="851"/>
      <c r="AD85" s="851"/>
      <c r="AE85" s="851"/>
      <c r="AF85" s="851"/>
      <c r="AG85" s="851"/>
      <c r="AH85" s="851"/>
      <c r="AI85" s="851"/>
      <c r="AJ85" s="851"/>
      <c r="AK85" s="846"/>
    </row>
    <row r="86" spans="1:37" ht="20.399999999999999" customHeight="1" x14ac:dyDescent="0.3">
      <c r="A86" s="83"/>
      <c r="B86" s="83"/>
      <c r="C86" s="83"/>
      <c r="D86" s="83"/>
      <c r="E86" s="83"/>
      <c r="F86" s="83"/>
      <c r="G86" s="83"/>
      <c r="H86" s="83"/>
      <c r="I86" s="83"/>
      <c r="J86" s="83"/>
      <c r="K86" s="83"/>
      <c r="L86" s="83"/>
      <c r="M86" s="83"/>
      <c r="N86" s="83"/>
      <c r="O86" s="83"/>
      <c r="P86" s="851"/>
      <c r="Q86" s="851"/>
      <c r="R86" s="851"/>
      <c r="S86" s="851"/>
      <c r="T86" s="851"/>
      <c r="U86" s="851"/>
      <c r="V86" s="851"/>
      <c r="W86" s="851"/>
      <c r="X86" s="851"/>
      <c r="Y86" s="851"/>
      <c r="Z86" s="851"/>
      <c r="AA86" s="851"/>
      <c r="AB86" s="851"/>
      <c r="AC86" s="851"/>
      <c r="AD86" s="851"/>
      <c r="AE86" s="851"/>
      <c r="AF86" s="851"/>
      <c r="AG86" s="851"/>
      <c r="AH86" s="851"/>
      <c r="AI86" s="851"/>
      <c r="AJ86" s="851"/>
      <c r="AK86" s="846"/>
    </row>
    <row r="87" spans="1:37" ht="20.399999999999999" customHeight="1" x14ac:dyDescent="0.3">
      <c r="A87" s="83"/>
      <c r="B87" s="83"/>
      <c r="C87" s="83"/>
      <c r="D87" s="83"/>
      <c r="E87" s="83"/>
      <c r="F87" s="83"/>
      <c r="G87" s="83"/>
      <c r="H87" s="83"/>
      <c r="I87" s="83"/>
      <c r="J87" s="83"/>
      <c r="K87" s="83"/>
      <c r="L87" s="83"/>
      <c r="M87" s="83"/>
      <c r="N87" s="83"/>
      <c r="O87" s="83"/>
      <c r="P87" s="851"/>
      <c r="Q87" s="851"/>
      <c r="R87" s="851"/>
      <c r="S87" s="851"/>
      <c r="T87" s="851"/>
      <c r="U87" s="851"/>
      <c r="V87" s="851"/>
      <c r="W87" s="851"/>
      <c r="X87" s="851"/>
      <c r="Y87" s="851"/>
      <c r="Z87" s="851"/>
      <c r="AA87" s="851"/>
      <c r="AB87" s="851"/>
      <c r="AC87" s="851"/>
      <c r="AD87" s="851"/>
      <c r="AE87" s="851"/>
      <c r="AF87" s="851"/>
      <c r="AG87" s="851"/>
      <c r="AH87" s="851"/>
      <c r="AI87" s="851"/>
      <c r="AJ87" s="851"/>
      <c r="AK87" s="846"/>
    </row>
    <row r="88" spans="1:37" ht="20.399999999999999" customHeight="1" x14ac:dyDescent="0.3">
      <c r="A88" s="83"/>
      <c r="B88" s="83"/>
      <c r="C88" s="83"/>
      <c r="D88" s="83"/>
      <c r="E88" s="83"/>
      <c r="F88" s="83"/>
      <c r="G88" s="83"/>
      <c r="H88" s="83"/>
      <c r="I88" s="83"/>
      <c r="J88" s="83"/>
      <c r="K88" s="83"/>
      <c r="L88" s="83"/>
      <c r="M88" s="83"/>
      <c r="N88" s="83"/>
      <c r="O88" s="83"/>
      <c r="P88" s="851"/>
      <c r="Q88" s="851"/>
      <c r="R88" s="851"/>
      <c r="S88" s="851"/>
      <c r="T88" s="851"/>
      <c r="U88" s="851"/>
      <c r="V88" s="851"/>
      <c r="W88" s="851"/>
      <c r="X88" s="851"/>
      <c r="Y88" s="851"/>
      <c r="Z88" s="851"/>
      <c r="AA88" s="851"/>
      <c r="AB88" s="851"/>
      <c r="AC88" s="851"/>
      <c r="AD88" s="851"/>
      <c r="AE88" s="851"/>
      <c r="AF88" s="851"/>
      <c r="AG88" s="851"/>
      <c r="AH88" s="851"/>
      <c r="AI88" s="851"/>
      <c r="AJ88" s="851"/>
      <c r="AK88" s="846"/>
    </row>
    <row r="89" spans="1:37" ht="20.399999999999999" customHeight="1" x14ac:dyDescent="0.3">
      <c r="A89" s="83"/>
      <c r="B89" s="83"/>
      <c r="C89" s="83"/>
      <c r="D89" s="83"/>
      <c r="E89" s="83"/>
      <c r="F89" s="83"/>
      <c r="G89" s="83"/>
      <c r="H89" s="83"/>
      <c r="I89" s="83"/>
      <c r="J89" s="83"/>
      <c r="K89" s="83"/>
      <c r="L89" s="83"/>
      <c r="M89" s="83"/>
      <c r="N89" s="83"/>
      <c r="O89" s="83"/>
      <c r="P89" s="851"/>
      <c r="Q89" s="851"/>
      <c r="R89" s="851"/>
      <c r="S89" s="851"/>
      <c r="T89" s="851"/>
      <c r="U89" s="851"/>
      <c r="V89" s="851"/>
      <c r="W89" s="851"/>
      <c r="X89" s="851"/>
      <c r="Y89" s="851"/>
      <c r="Z89" s="851"/>
      <c r="AA89" s="851"/>
      <c r="AB89" s="851"/>
      <c r="AC89" s="851"/>
      <c r="AD89" s="851"/>
      <c r="AE89" s="851"/>
      <c r="AF89" s="851"/>
      <c r="AG89" s="851"/>
      <c r="AH89" s="851"/>
      <c r="AI89" s="851"/>
      <c r="AJ89" s="851"/>
      <c r="AK89" s="846"/>
    </row>
    <row r="90" spans="1:37" ht="20.399999999999999" customHeight="1" x14ac:dyDescent="0.3">
      <c r="A90" s="83"/>
      <c r="B90" s="83"/>
      <c r="C90" s="83"/>
      <c r="D90" s="83"/>
      <c r="E90" s="83"/>
      <c r="F90" s="83"/>
      <c r="G90" s="83"/>
      <c r="H90" s="83"/>
      <c r="I90" s="83"/>
      <c r="J90" s="83"/>
      <c r="K90" s="83"/>
      <c r="L90" s="83"/>
      <c r="M90" s="83"/>
      <c r="N90" s="83"/>
      <c r="O90" s="83"/>
      <c r="P90" s="851"/>
      <c r="Q90" s="851"/>
      <c r="R90" s="851"/>
      <c r="S90" s="851"/>
      <c r="T90" s="851"/>
      <c r="U90" s="851"/>
      <c r="V90" s="851"/>
      <c r="W90" s="851"/>
      <c r="X90" s="851"/>
      <c r="Y90" s="851"/>
      <c r="Z90" s="851"/>
      <c r="AA90" s="851"/>
      <c r="AB90" s="851"/>
      <c r="AC90" s="851"/>
      <c r="AD90" s="851"/>
      <c r="AE90" s="851"/>
      <c r="AF90" s="851"/>
      <c r="AG90" s="851"/>
      <c r="AH90" s="851"/>
      <c r="AI90" s="851"/>
      <c r="AJ90" s="851"/>
      <c r="AK90" s="846"/>
    </row>
    <row r="91" spans="1:37" ht="20.399999999999999" customHeight="1" x14ac:dyDescent="0.3">
      <c r="A91" s="83"/>
      <c r="B91" s="83"/>
      <c r="C91" s="83"/>
      <c r="D91" s="83"/>
      <c r="E91" s="83"/>
      <c r="F91" s="83"/>
      <c r="G91" s="83"/>
      <c r="H91" s="83"/>
      <c r="I91" s="83"/>
      <c r="J91" s="83"/>
      <c r="K91" s="83"/>
      <c r="L91" s="83"/>
      <c r="M91" s="83"/>
      <c r="N91" s="83"/>
      <c r="O91" s="83"/>
      <c r="P91" s="851"/>
      <c r="Q91" s="851"/>
      <c r="R91" s="851"/>
      <c r="S91" s="851"/>
      <c r="T91" s="851"/>
      <c r="U91" s="851"/>
      <c r="V91" s="851"/>
      <c r="W91" s="851"/>
      <c r="X91" s="851"/>
      <c r="Y91" s="851"/>
      <c r="Z91" s="851"/>
      <c r="AA91" s="851"/>
      <c r="AB91" s="851"/>
      <c r="AC91" s="851"/>
      <c r="AD91" s="851"/>
      <c r="AE91" s="851"/>
      <c r="AF91" s="851"/>
      <c r="AG91" s="851"/>
      <c r="AH91" s="851"/>
      <c r="AI91" s="851"/>
      <c r="AJ91" s="851"/>
      <c r="AK91" s="846"/>
    </row>
    <row r="92" spans="1:37" ht="20.399999999999999" customHeight="1" x14ac:dyDescent="0.3">
      <c r="A92" s="83"/>
      <c r="B92" s="83"/>
      <c r="C92" s="83"/>
      <c r="D92" s="83"/>
      <c r="E92" s="83"/>
      <c r="F92" s="83"/>
      <c r="G92" s="83"/>
      <c r="H92" s="83"/>
      <c r="I92" s="83"/>
      <c r="J92" s="83"/>
      <c r="K92" s="83"/>
      <c r="L92" s="83"/>
      <c r="M92" s="83"/>
      <c r="N92" s="83"/>
      <c r="O92" s="83"/>
      <c r="P92" s="851"/>
      <c r="Q92" s="851"/>
      <c r="R92" s="851"/>
      <c r="S92" s="851"/>
      <c r="T92" s="851"/>
      <c r="U92" s="851"/>
      <c r="V92" s="851"/>
      <c r="W92" s="851"/>
      <c r="X92" s="851"/>
      <c r="Y92" s="851"/>
      <c r="Z92" s="851"/>
      <c r="AA92" s="851"/>
      <c r="AB92" s="851"/>
      <c r="AC92" s="851"/>
      <c r="AD92" s="851"/>
      <c r="AE92" s="851"/>
      <c r="AF92" s="851"/>
      <c r="AG92" s="851"/>
      <c r="AH92" s="851"/>
      <c r="AI92" s="851"/>
      <c r="AJ92" s="851"/>
      <c r="AK92" s="846"/>
    </row>
    <row r="93" spans="1:37" ht="20.399999999999999" customHeight="1" x14ac:dyDescent="0.3">
      <c r="A93" s="83"/>
      <c r="B93" s="83"/>
      <c r="C93" s="83"/>
      <c r="D93" s="83"/>
      <c r="E93" s="83"/>
      <c r="F93" s="83"/>
      <c r="G93" s="83"/>
      <c r="H93" s="83"/>
      <c r="I93" s="83"/>
      <c r="J93" s="83"/>
      <c r="K93" s="83"/>
      <c r="L93" s="83"/>
      <c r="M93" s="83"/>
      <c r="N93" s="83"/>
      <c r="O93" s="83"/>
      <c r="P93" s="851"/>
      <c r="Q93" s="851"/>
      <c r="R93" s="851"/>
      <c r="S93" s="851"/>
      <c r="T93" s="851"/>
      <c r="U93" s="851"/>
      <c r="V93" s="851"/>
      <c r="W93" s="851"/>
      <c r="X93" s="851"/>
      <c r="Y93" s="851"/>
      <c r="Z93" s="851"/>
      <c r="AA93" s="851"/>
      <c r="AB93" s="851"/>
      <c r="AC93" s="851"/>
      <c r="AD93" s="851"/>
      <c r="AE93" s="851"/>
      <c r="AF93" s="851"/>
      <c r="AG93" s="851"/>
      <c r="AH93" s="851"/>
      <c r="AI93" s="851"/>
      <c r="AJ93" s="851"/>
      <c r="AK93" s="846"/>
    </row>
    <row r="94" spans="1:37" ht="20.399999999999999" customHeight="1" x14ac:dyDescent="0.3">
      <c r="A94" s="83"/>
      <c r="B94" s="83"/>
      <c r="C94" s="83"/>
      <c r="D94" s="83"/>
      <c r="E94" s="83"/>
      <c r="F94" s="83"/>
      <c r="G94" s="83"/>
      <c r="H94" s="83"/>
      <c r="I94" s="83"/>
      <c r="J94" s="83"/>
      <c r="K94" s="83"/>
      <c r="L94" s="83"/>
      <c r="M94" s="83"/>
      <c r="N94" s="83"/>
      <c r="O94" s="83"/>
      <c r="P94" s="851"/>
      <c r="Q94" s="851"/>
      <c r="R94" s="851"/>
      <c r="S94" s="851"/>
      <c r="T94" s="851"/>
      <c r="U94" s="851"/>
      <c r="V94" s="851"/>
      <c r="W94" s="851"/>
      <c r="X94" s="851"/>
      <c r="Y94" s="851"/>
      <c r="Z94" s="851"/>
      <c r="AA94" s="851"/>
      <c r="AB94" s="851"/>
      <c r="AC94" s="851"/>
      <c r="AD94" s="851"/>
      <c r="AE94" s="851"/>
      <c r="AF94" s="851"/>
      <c r="AG94" s="851"/>
      <c r="AH94" s="851"/>
      <c r="AI94" s="851"/>
      <c r="AJ94" s="851"/>
      <c r="AK94" s="846"/>
    </row>
    <row r="95" spans="1:37" ht="20.399999999999999" customHeight="1" x14ac:dyDescent="0.3">
      <c r="A95" s="83"/>
      <c r="B95" s="83"/>
      <c r="C95" s="83"/>
      <c r="D95" s="83"/>
      <c r="E95" s="83"/>
      <c r="F95" s="83"/>
      <c r="G95" s="83"/>
      <c r="H95" s="83"/>
      <c r="I95" s="83"/>
      <c r="J95" s="83"/>
      <c r="K95" s="83"/>
      <c r="L95" s="83"/>
      <c r="M95" s="83"/>
      <c r="N95" s="83"/>
      <c r="O95" s="83"/>
      <c r="P95" s="851"/>
      <c r="Q95" s="851"/>
      <c r="R95" s="851"/>
      <c r="S95" s="851"/>
      <c r="T95" s="851"/>
      <c r="U95" s="851"/>
      <c r="V95" s="851"/>
      <c r="W95" s="851"/>
      <c r="X95" s="851"/>
      <c r="Y95" s="851"/>
      <c r="Z95" s="851"/>
      <c r="AA95" s="851"/>
      <c r="AB95" s="851"/>
      <c r="AC95" s="851"/>
      <c r="AD95" s="851"/>
      <c r="AE95" s="851"/>
      <c r="AF95" s="851"/>
      <c r="AG95" s="851"/>
      <c r="AH95" s="851"/>
      <c r="AI95" s="851"/>
      <c r="AJ95" s="851"/>
      <c r="AK95" s="846"/>
    </row>
    <row r="96" spans="1:37" ht="20.399999999999999" customHeight="1" x14ac:dyDescent="0.3">
      <c r="A96" s="83"/>
      <c r="B96" s="83"/>
      <c r="C96" s="83"/>
      <c r="D96" s="83"/>
      <c r="E96" s="83"/>
      <c r="F96" s="83"/>
      <c r="G96" s="83"/>
      <c r="H96" s="83"/>
      <c r="I96" s="83"/>
      <c r="J96" s="83"/>
      <c r="K96" s="83"/>
      <c r="L96" s="83"/>
      <c r="M96" s="83"/>
      <c r="N96" s="83"/>
      <c r="O96" s="83"/>
      <c r="P96" s="851"/>
      <c r="Q96" s="851"/>
      <c r="R96" s="851"/>
      <c r="S96" s="851"/>
      <c r="T96" s="851"/>
      <c r="U96" s="851"/>
      <c r="V96" s="851"/>
      <c r="W96" s="851"/>
      <c r="X96" s="851"/>
      <c r="Y96" s="851"/>
      <c r="Z96" s="851"/>
      <c r="AA96" s="851"/>
      <c r="AB96" s="851"/>
      <c r="AC96" s="851"/>
      <c r="AD96" s="851"/>
      <c r="AE96" s="851"/>
      <c r="AF96" s="851"/>
      <c r="AG96" s="851"/>
      <c r="AH96" s="851"/>
      <c r="AI96" s="851"/>
      <c r="AJ96" s="851"/>
      <c r="AK96" s="846"/>
    </row>
    <row r="97" spans="1:37" ht="20.399999999999999" customHeight="1" x14ac:dyDescent="0.3">
      <c r="A97" s="83"/>
      <c r="B97" s="83"/>
      <c r="C97" s="83"/>
      <c r="D97" s="83"/>
      <c r="E97" s="83"/>
      <c r="F97" s="83"/>
      <c r="G97" s="83"/>
      <c r="H97" s="83"/>
      <c r="I97" s="83"/>
      <c r="J97" s="83"/>
      <c r="K97" s="83"/>
      <c r="L97" s="83"/>
      <c r="M97" s="83"/>
      <c r="N97" s="83"/>
      <c r="O97" s="83"/>
      <c r="P97" s="851"/>
      <c r="Q97" s="851"/>
      <c r="R97" s="851"/>
      <c r="S97" s="851"/>
      <c r="T97" s="851"/>
      <c r="U97" s="851"/>
      <c r="V97" s="851"/>
      <c r="W97" s="851"/>
      <c r="X97" s="851"/>
      <c r="Y97" s="851"/>
      <c r="Z97" s="851"/>
      <c r="AA97" s="851"/>
      <c r="AB97" s="851"/>
      <c r="AC97" s="851"/>
      <c r="AD97" s="851"/>
      <c r="AE97" s="851"/>
      <c r="AF97" s="851"/>
      <c r="AG97" s="851"/>
      <c r="AH97" s="851"/>
      <c r="AI97" s="851"/>
      <c r="AJ97" s="851"/>
      <c r="AK97" s="846"/>
    </row>
    <row r="98" spans="1:37" ht="20.399999999999999" customHeight="1" x14ac:dyDescent="0.3">
      <c r="A98" s="83"/>
      <c r="B98" s="83"/>
      <c r="C98" s="83"/>
      <c r="D98" s="83"/>
      <c r="E98" s="83"/>
      <c r="F98" s="83"/>
      <c r="G98" s="83"/>
      <c r="H98" s="83"/>
      <c r="I98" s="83"/>
      <c r="J98" s="83"/>
      <c r="K98" s="83"/>
      <c r="L98" s="83"/>
      <c r="M98" s="83"/>
      <c r="N98" s="83"/>
      <c r="O98" s="83"/>
      <c r="P98" s="851"/>
      <c r="Q98" s="851"/>
      <c r="R98" s="851"/>
      <c r="S98" s="851"/>
      <c r="T98" s="851"/>
      <c r="U98" s="851"/>
      <c r="V98" s="851"/>
      <c r="W98" s="851"/>
      <c r="X98" s="851"/>
      <c r="Y98" s="851"/>
      <c r="Z98" s="851"/>
      <c r="AA98" s="851"/>
      <c r="AB98" s="851"/>
      <c r="AC98" s="851"/>
      <c r="AD98" s="851"/>
      <c r="AE98" s="851"/>
      <c r="AF98" s="851"/>
      <c r="AG98" s="851"/>
      <c r="AH98" s="851"/>
      <c r="AI98" s="851"/>
      <c r="AJ98" s="851"/>
      <c r="AK98" s="846"/>
    </row>
    <row r="99" spans="1:37" ht="20.399999999999999" customHeight="1" x14ac:dyDescent="0.3">
      <c r="P99" s="858"/>
      <c r="Q99" s="858"/>
      <c r="R99" s="858"/>
      <c r="S99" s="858"/>
      <c r="T99" s="858"/>
      <c r="U99" s="858"/>
      <c r="V99" s="858"/>
      <c r="W99" s="858"/>
      <c r="X99" s="858"/>
      <c r="Y99" s="858"/>
      <c r="Z99" s="858"/>
      <c r="AA99" s="858"/>
      <c r="AB99" s="858"/>
      <c r="AC99" s="858"/>
      <c r="AD99" s="858"/>
      <c r="AE99" s="858"/>
      <c r="AF99" s="858"/>
      <c r="AG99" s="858"/>
      <c r="AH99" s="858"/>
      <c r="AI99" s="858"/>
      <c r="AJ99" s="858"/>
      <c r="AK99" s="847"/>
    </row>
    <row r="100" spans="1:37" ht="20.399999999999999" customHeight="1" x14ac:dyDescent="0.3">
      <c r="P100" s="858"/>
      <c r="Q100" s="858"/>
      <c r="R100" s="858"/>
      <c r="S100" s="858"/>
      <c r="T100" s="858"/>
      <c r="U100" s="858"/>
      <c r="V100" s="858"/>
      <c r="W100" s="858"/>
      <c r="X100" s="858"/>
      <c r="Y100" s="858"/>
      <c r="Z100" s="858"/>
      <c r="AA100" s="858"/>
      <c r="AB100" s="858"/>
      <c r="AC100" s="858"/>
      <c r="AD100" s="858"/>
      <c r="AE100" s="858"/>
      <c r="AF100" s="858"/>
      <c r="AG100" s="858"/>
      <c r="AH100" s="858"/>
      <c r="AI100" s="858"/>
      <c r="AJ100" s="858"/>
      <c r="AK100" s="847"/>
    </row>
    <row r="101" spans="1:37" ht="20.399999999999999" customHeight="1" x14ac:dyDescent="0.3">
      <c r="P101" s="858"/>
      <c r="Q101" s="858"/>
      <c r="R101" s="858"/>
      <c r="S101" s="858"/>
      <c r="T101" s="858"/>
      <c r="U101" s="858"/>
      <c r="V101" s="858"/>
      <c r="W101" s="858"/>
      <c r="X101" s="858"/>
      <c r="Y101" s="858"/>
      <c r="Z101" s="858"/>
      <c r="AA101" s="858"/>
      <c r="AB101" s="858"/>
      <c r="AC101" s="858"/>
      <c r="AD101" s="858"/>
      <c r="AE101" s="858"/>
      <c r="AF101" s="858"/>
      <c r="AG101" s="858"/>
      <c r="AH101" s="858"/>
      <c r="AI101" s="858"/>
      <c r="AJ101" s="858"/>
      <c r="AK101" s="847"/>
    </row>
    <row r="102" spans="1:37" ht="20.399999999999999" customHeight="1" x14ac:dyDescent="0.3">
      <c r="P102" s="858"/>
      <c r="Q102" s="858"/>
      <c r="R102" s="858"/>
      <c r="S102" s="858"/>
      <c r="T102" s="858"/>
      <c r="U102" s="858"/>
      <c r="V102" s="858"/>
      <c r="W102" s="858"/>
      <c r="X102" s="858"/>
      <c r="Y102" s="858"/>
      <c r="Z102" s="858"/>
      <c r="AA102" s="858"/>
      <c r="AB102" s="858"/>
      <c r="AC102" s="858"/>
      <c r="AD102" s="858"/>
      <c r="AE102" s="858"/>
      <c r="AF102" s="858"/>
      <c r="AG102" s="858"/>
      <c r="AH102" s="858"/>
      <c r="AI102" s="858"/>
      <c r="AJ102" s="858"/>
      <c r="AK102" s="847"/>
    </row>
    <row r="103" spans="1:37" ht="20.399999999999999" customHeight="1" x14ac:dyDescent="0.3">
      <c r="P103" s="858"/>
      <c r="Q103" s="858"/>
      <c r="R103" s="858"/>
      <c r="S103" s="858"/>
      <c r="T103" s="858"/>
      <c r="U103" s="858"/>
      <c r="V103" s="858"/>
      <c r="W103" s="858"/>
      <c r="X103" s="858"/>
      <c r="Y103" s="858"/>
      <c r="Z103" s="858"/>
      <c r="AA103" s="858"/>
      <c r="AB103" s="858"/>
      <c r="AC103" s="858"/>
      <c r="AD103" s="858"/>
      <c r="AE103" s="858"/>
      <c r="AF103" s="858"/>
      <c r="AG103" s="858"/>
      <c r="AH103" s="858"/>
      <c r="AI103" s="858"/>
      <c r="AJ103" s="858"/>
      <c r="AK103" s="847"/>
    </row>
    <row r="104" spans="1:37" ht="20.399999999999999" customHeight="1" x14ac:dyDescent="0.3">
      <c r="P104" s="858"/>
      <c r="Q104" s="858"/>
      <c r="R104" s="858"/>
      <c r="S104" s="858"/>
      <c r="T104" s="858"/>
      <c r="U104" s="858"/>
      <c r="V104" s="858"/>
      <c r="W104" s="858"/>
      <c r="X104" s="858"/>
      <c r="Y104" s="858"/>
      <c r="Z104" s="858"/>
      <c r="AA104" s="858"/>
      <c r="AB104" s="858"/>
      <c r="AC104" s="858"/>
      <c r="AD104" s="858"/>
      <c r="AE104" s="858"/>
      <c r="AF104" s="858"/>
      <c r="AG104" s="858"/>
      <c r="AH104" s="858"/>
      <c r="AI104" s="858"/>
      <c r="AJ104" s="858"/>
      <c r="AK104" s="847"/>
    </row>
    <row r="105" spans="1:37" ht="20.399999999999999" customHeight="1" x14ac:dyDescent="0.3">
      <c r="P105" s="858"/>
      <c r="Q105" s="858"/>
      <c r="R105" s="858"/>
      <c r="S105" s="858"/>
      <c r="T105" s="858"/>
      <c r="U105" s="858"/>
      <c r="V105" s="858"/>
      <c r="W105" s="858"/>
      <c r="X105" s="858"/>
      <c r="Y105" s="858"/>
      <c r="Z105" s="858"/>
      <c r="AA105" s="858"/>
      <c r="AB105" s="858"/>
      <c r="AC105" s="858"/>
      <c r="AD105" s="858"/>
      <c r="AE105" s="858"/>
      <c r="AF105" s="858"/>
      <c r="AG105" s="858"/>
      <c r="AH105" s="858"/>
      <c r="AI105" s="858"/>
      <c r="AJ105" s="858"/>
      <c r="AK105" s="847"/>
    </row>
    <row r="106" spans="1:37" ht="20.399999999999999" customHeight="1" x14ac:dyDescent="0.3">
      <c r="P106" s="858"/>
      <c r="Q106" s="858"/>
      <c r="R106" s="858"/>
      <c r="S106" s="858"/>
      <c r="T106" s="858"/>
      <c r="U106" s="858"/>
      <c r="V106" s="858"/>
      <c r="W106" s="858"/>
      <c r="X106" s="858"/>
      <c r="Y106" s="858"/>
      <c r="Z106" s="858"/>
      <c r="AA106" s="858"/>
      <c r="AB106" s="858"/>
      <c r="AC106" s="858"/>
      <c r="AD106" s="858"/>
      <c r="AE106" s="858"/>
      <c r="AF106" s="858"/>
      <c r="AG106" s="858"/>
      <c r="AH106" s="858"/>
      <c r="AI106" s="858"/>
      <c r="AJ106" s="858"/>
      <c r="AK106" s="847"/>
    </row>
    <row r="107" spans="1:37" ht="20.399999999999999" customHeight="1" x14ac:dyDescent="0.3">
      <c r="P107" s="858"/>
      <c r="Q107" s="858"/>
      <c r="R107" s="858"/>
      <c r="S107" s="858"/>
      <c r="T107" s="858"/>
      <c r="U107" s="858"/>
      <c r="V107" s="858"/>
      <c r="W107" s="858"/>
      <c r="X107" s="858"/>
      <c r="Y107" s="858"/>
      <c r="Z107" s="858"/>
      <c r="AA107" s="858"/>
      <c r="AB107" s="858"/>
      <c r="AC107" s="858"/>
      <c r="AD107" s="858"/>
      <c r="AE107" s="858"/>
      <c r="AF107" s="858"/>
      <c r="AG107" s="858"/>
      <c r="AH107" s="858"/>
      <c r="AI107" s="858"/>
      <c r="AJ107" s="858"/>
      <c r="AK107" s="847"/>
    </row>
    <row r="108" spans="1:37" ht="20.399999999999999" customHeight="1" x14ac:dyDescent="0.3">
      <c r="P108" s="858"/>
      <c r="Q108" s="858"/>
      <c r="R108" s="858"/>
      <c r="S108" s="858"/>
      <c r="T108" s="858"/>
      <c r="U108" s="858"/>
      <c r="V108" s="858"/>
      <c r="W108" s="858"/>
      <c r="X108" s="858"/>
      <c r="Y108" s="858"/>
      <c r="Z108" s="858"/>
      <c r="AA108" s="858"/>
      <c r="AB108" s="858"/>
      <c r="AC108" s="858"/>
      <c r="AD108" s="858"/>
      <c r="AE108" s="858"/>
      <c r="AF108" s="858"/>
      <c r="AG108" s="858"/>
      <c r="AH108" s="858"/>
      <c r="AI108" s="858"/>
      <c r="AJ108" s="858"/>
      <c r="AK108" s="847"/>
    </row>
    <row r="109" spans="1:37" ht="20.399999999999999" customHeight="1" x14ac:dyDescent="0.3">
      <c r="P109" s="858"/>
      <c r="Q109" s="858"/>
      <c r="R109" s="858"/>
      <c r="S109" s="858"/>
      <c r="T109" s="858"/>
      <c r="U109" s="858"/>
      <c r="V109" s="858"/>
      <c r="W109" s="858"/>
      <c r="X109" s="858"/>
      <c r="Y109" s="858"/>
      <c r="Z109" s="858"/>
      <c r="AA109" s="858"/>
      <c r="AB109" s="858"/>
      <c r="AC109" s="858"/>
      <c r="AD109" s="858"/>
      <c r="AE109" s="858"/>
      <c r="AF109" s="858"/>
      <c r="AG109" s="858"/>
      <c r="AH109" s="858"/>
      <c r="AI109" s="858"/>
      <c r="AJ109" s="858"/>
      <c r="AK109" s="847"/>
    </row>
    <row r="110" spans="1:37" ht="20.399999999999999" customHeight="1" x14ac:dyDescent="0.3">
      <c r="P110" s="858"/>
      <c r="Q110" s="858"/>
      <c r="R110" s="858"/>
      <c r="S110" s="858"/>
      <c r="T110" s="858"/>
      <c r="U110" s="858"/>
      <c r="V110" s="858"/>
      <c r="W110" s="858"/>
      <c r="X110" s="858"/>
      <c r="Y110" s="858"/>
      <c r="Z110" s="858"/>
      <c r="AA110" s="858"/>
      <c r="AB110" s="858"/>
      <c r="AC110" s="858"/>
      <c r="AD110" s="858"/>
      <c r="AE110" s="858"/>
      <c r="AF110" s="858"/>
      <c r="AG110" s="858"/>
      <c r="AH110" s="858"/>
      <c r="AI110" s="858"/>
      <c r="AJ110" s="858"/>
      <c r="AK110" s="847"/>
    </row>
    <row r="111" spans="1:37" ht="20.399999999999999" customHeight="1" x14ac:dyDescent="0.3">
      <c r="P111" s="858"/>
      <c r="Q111" s="858"/>
      <c r="R111" s="858"/>
      <c r="S111" s="858"/>
      <c r="T111" s="858"/>
      <c r="U111" s="858"/>
      <c r="V111" s="858"/>
      <c r="W111" s="858"/>
      <c r="X111" s="858"/>
      <c r="Y111" s="858"/>
      <c r="Z111" s="858"/>
      <c r="AA111" s="858"/>
      <c r="AB111" s="858"/>
      <c r="AC111" s="858"/>
      <c r="AD111" s="858"/>
      <c r="AE111" s="858"/>
      <c r="AF111" s="858"/>
      <c r="AG111" s="858"/>
      <c r="AH111" s="858"/>
      <c r="AI111" s="858"/>
      <c r="AJ111" s="858"/>
      <c r="AK111" s="847"/>
    </row>
    <row r="112" spans="1:37" ht="20.399999999999999" customHeight="1" x14ac:dyDescent="0.3">
      <c r="P112" s="858"/>
      <c r="Q112" s="858"/>
      <c r="R112" s="858"/>
      <c r="S112" s="858"/>
      <c r="T112" s="858"/>
      <c r="U112" s="858"/>
      <c r="V112" s="858"/>
      <c r="W112" s="858"/>
      <c r="X112" s="858"/>
      <c r="Y112" s="858"/>
      <c r="Z112" s="858"/>
      <c r="AA112" s="858"/>
      <c r="AB112" s="858"/>
      <c r="AC112" s="858"/>
      <c r="AD112" s="858"/>
      <c r="AE112" s="858"/>
      <c r="AF112" s="858"/>
      <c r="AG112" s="858"/>
      <c r="AH112" s="858"/>
      <c r="AI112" s="858"/>
      <c r="AJ112" s="858"/>
      <c r="AK112" s="847"/>
    </row>
    <row r="113" spans="16:37" ht="20.399999999999999" customHeight="1" x14ac:dyDescent="0.3">
      <c r="P113" s="858"/>
      <c r="Q113" s="858"/>
      <c r="R113" s="858"/>
      <c r="S113" s="858"/>
      <c r="T113" s="858"/>
      <c r="U113" s="858"/>
      <c r="V113" s="858"/>
      <c r="W113" s="858"/>
      <c r="X113" s="858"/>
      <c r="Y113" s="858"/>
      <c r="Z113" s="858"/>
      <c r="AA113" s="858"/>
      <c r="AB113" s="858"/>
      <c r="AC113" s="858"/>
      <c r="AD113" s="858"/>
      <c r="AE113" s="858"/>
      <c r="AF113" s="858"/>
      <c r="AG113" s="858"/>
      <c r="AH113" s="858"/>
      <c r="AI113" s="858"/>
      <c r="AJ113" s="858"/>
      <c r="AK113" s="847"/>
    </row>
    <row r="114" spans="16:37" ht="20.399999999999999" customHeight="1" x14ac:dyDescent="0.3">
      <c r="P114" s="858"/>
      <c r="Q114" s="858"/>
      <c r="R114" s="858"/>
      <c r="S114" s="858"/>
      <c r="T114" s="858"/>
      <c r="U114" s="858"/>
      <c r="V114" s="858"/>
      <c r="W114" s="858"/>
      <c r="X114" s="858"/>
      <c r="Y114" s="858"/>
      <c r="Z114" s="858"/>
      <c r="AA114" s="858"/>
      <c r="AB114" s="858"/>
      <c r="AC114" s="858"/>
      <c r="AD114" s="858"/>
      <c r="AE114" s="858"/>
      <c r="AF114" s="858"/>
      <c r="AG114" s="858"/>
      <c r="AH114" s="858"/>
      <c r="AI114" s="858"/>
      <c r="AJ114" s="858"/>
      <c r="AK114" s="847"/>
    </row>
    <row r="115" spans="16:37" ht="20.399999999999999" customHeight="1" x14ac:dyDescent="0.3">
      <c r="P115" s="858"/>
      <c r="Q115" s="858"/>
      <c r="R115" s="858"/>
      <c r="S115" s="858"/>
      <c r="T115" s="858"/>
      <c r="U115" s="858"/>
      <c r="V115" s="858"/>
      <c r="W115" s="858"/>
      <c r="X115" s="858"/>
      <c r="Y115" s="858"/>
      <c r="Z115" s="858"/>
      <c r="AA115" s="858"/>
      <c r="AB115" s="858"/>
      <c r="AC115" s="858"/>
      <c r="AD115" s="858"/>
      <c r="AE115" s="858"/>
      <c r="AF115" s="858"/>
      <c r="AG115" s="858"/>
      <c r="AH115" s="858"/>
      <c r="AI115" s="858"/>
      <c r="AJ115" s="858"/>
      <c r="AK115" s="847"/>
    </row>
    <row r="116" spans="16:37" ht="20.399999999999999" customHeight="1" x14ac:dyDescent="0.3">
      <c r="P116" s="858"/>
      <c r="Q116" s="858"/>
      <c r="R116" s="858"/>
      <c r="S116" s="858"/>
      <c r="T116" s="858"/>
      <c r="U116" s="858"/>
      <c r="V116" s="858"/>
      <c r="W116" s="858"/>
      <c r="X116" s="858"/>
      <c r="Y116" s="858"/>
      <c r="Z116" s="858"/>
      <c r="AA116" s="858"/>
      <c r="AB116" s="858"/>
      <c r="AC116" s="858"/>
      <c r="AD116" s="858"/>
      <c r="AE116" s="858"/>
      <c r="AF116" s="858"/>
      <c r="AG116" s="858"/>
      <c r="AH116" s="858"/>
      <c r="AI116" s="858"/>
      <c r="AJ116" s="858"/>
      <c r="AK116" s="847"/>
    </row>
    <row r="117" spans="16:37" ht="20.399999999999999" customHeight="1" x14ac:dyDescent="0.3">
      <c r="P117" s="858"/>
      <c r="Q117" s="858"/>
      <c r="R117" s="858"/>
      <c r="S117" s="858"/>
      <c r="T117" s="858"/>
      <c r="U117" s="858"/>
      <c r="V117" s="858"/>
      <c r="W117" s="858"/>
      <c r="X117" s="858"/>
      <c r="Y117" s="858"/>
      <c r="Z117" s="858"/>
      <c r="AA117" s="858"/>
      <c r="AB117" s="858"/>
      <c r="AC117" s="858"/>
      <c r="AD117" s="858"/>
      <c r="AE117" s="858"/>
      <c r="AF117" s="858"/>
      <c r="AG117" s="858"/>
      <c r="AH117" s="858"/>
      <c r="AI117" s="858"/>
      <c r="AJ117" s="858"/>
      <c r="AK117" s="847"/>
    </row>
    <row r="118" spans="16:37" ht="20.399999999999999" customHeight="1" x14ac:dyDescent="0.3">
      <c r="P118" s="858"/>
      <c r="Q118" s="858"/>
      <c r="R118" s="858"/>
      <c r="S118" s="858"/>
      <c r="T118" s="858"/>
      <c r="U118" s="858"/>
      <c r="V118" s="858"/>
      <c r="W118" s="858"/>
      <c r="X118" s="858"/>
      <c r="Y118" s="858"/>
      <c r="Z118" s="858"/>
      <c r="AA118" s="858"/>
      <c r="AB118" s="858"/>
      <c r="AC118" s="858"/>
      <c r="AD118" s="858"/>
      <c r="AE118" s="858"/>
      <c r="AF118" s="858"/>
      <c r="AG118" s="858"/>
      <c r="AH118" s="858"/>
      <c r="AI118" s="858"/>
      <c r="AJ118" s="858"/>
      <c r="AK118" s="847"/>
    </row>
    <row r="119" spans="16:37" ht="20.399999999999999" customHeight="1" x14ac:dyDescent="0.3">
      <c r="P119" s="858"/>
      <c r="Q119" s="858"/>
      <c r="R119" s="858"/>
      <c r="S119" s="858"/>
      <c r="T119" s="858"/>
      <c r="U119" s="858"/>
      <c r="V119" s="858"/>
      <c r="W119" s="858"/>
      <c r="X119" s="858"/>
      <c r="Y119" s="858"/>
      <c r="Z119" s="858"/>
      <c r="AA119" s="858"/>
      <c r="AB119" s="858"/>
      <c r="AC119" s="858"/>
      <c r="AD119" s="858"/>
      <c r="AE119" s="858"/>
      <c r="AF119" s="858"/>
      <c r="AG119" s="858"/>
      <c r="AH119" s="858"/>
      <c r="AI119" s="858"/>
      <c r="AJ119" s="858"/>
      <c r="AK119" s="847"/>
    </row>
    <row r="120" spans="16:37" ht="20.399999999999999" customHeight="1" x14ac:dyDescent="0.3">
      <c r="P120" s="858"/>
      <c r="Q120" s="858"/>
      <c r="R120" s="858"/>
      <c r="S120" s="858"/>
      <c r="T120" s="858"/>
      <c r="U120" s="858"/>
      <c r="V120" s="858"/>
      <c r="W120" s="858"/>
      <c r="X120" s="858"/>
      <c r="Y120" s="858"/>
      <c r="Z120" s="858"/>
      <c r="AA120" s="858"/>
      <c r="AB120" s="858"/>
      <c r="AC120" s="858"/>
      <c r="AD120" s="858"/>
      <c r="AE120" s="858"/>
      <c r="AF120" s="858"/>
      <c r="AG120" s="858"/>
      <c r="AH120" s="858"/>
      <c r="AI120" s="858"/>
      <c r="AJ120" s="858"/>
      <c r="AK120" s="847"/>
    </row>
    <row r="121" spans="16:37" ht="20.399999999999999" customHeight="1" x14ac:dyDescent="0.3">
      <c r="P121" s="858"/>
      <c r="Q121" s="858"/>
      <c r="R121" s="858"/>
      <c r="S121" s="858"/>
      <c r="T121" s="858"/>
      <c r="U121" s="858"/>
      <c r="V121" s="858"/>
      <c r="W121" s="858"/>
      <c r="X121" s="858"/>
      <c r="Y121" s="858"/>
      <c r="Z121" s="858"/>
      <c r="AA121" s="858"/>
      <c r="AB121" s="858"/>
      <c r="AC121" s="858"/>
      <c r="AD121" s="858"/>
      <c r="AE121" s="858"/>
      <c r="AF121" s="858"/>
      <c r="AG121" s="858"/>
      <c r="AH121" s="858"/>
      <c r="AI121" s="858"/>
      <c r="AJ121" s="858"/>
      <c r="AK121" s="847"/>
    </row>
    <row r="122" spans="16:37" ht="20.399999999999999" customHeight="1" x14ac:dyDescent="0.3">
      <c r="P122" s="858"/>
      <c r="Q122" s="858"/>
      <c r="R122" s="858"/>
      <c r="S122" s="858"/>
      <c r="T122" s="858"/>
      <c r="U122" s="858"/>
      <c r="V122" s="858"/>
      <c r="W122" s="858"/>
      <c r="X122" s="858"/>
      <c r="Y122" s="858"/>
      <c r="Z122" s="858"/>
      <c r="AA122" s="858"/>
      <c r="AB122" s="858"/>
      <c r="AC122" s="858"/>
      <c r="AD122" s="858"/>
      <c r="AE122" s="858"/>
      <c r="AF122" s="858"/>
      <c r="AG122" s="858"/>
      <c r="AH122" s="858"/>
      <c r="AI122" s="858"/>
      <c r="AJ122" s="858"/>
      <c r="AK122" s="847"/>
    </row>
    <row r="123" spans="16:37" ht="20.399999999999999" customHeight="1" x14ac:dyDescent="0.3">
      <c r="P123" s="858"/>
      <c r="Q123" s="858"/>
      <c r="R123" s="858"/>
      <c r="S123" s="858"/>
      <c r="T123" s="858"/>
      <c r="U123" s="858"/>
      <c r="V123" s="858"/>
      <c r="W123" s="858"/>
      <c r="X123" s="858"/>
      <c r="Y123" s="858"/>
      <c r="Z123" s="858"/>
      <c r="AA123" s="858"/>
      <c r="AB123" s="858"/>
      <c r="AC123" s="858"/>
      <c r="AD123" s="858"/>
      <c r="AE123" s="858"/>
      <c r="AF123" s="858"/>
      <c r="AG123" s="858"/>
      <c r="AH123" s="858"/>
      <c r="AI123" s="858"/>
      <c r="AJ123" s="858"/>
      <c r="AK123" s="847"/>
    </row>
    <row r="124" spans="16:37" ht="20.399999999999999" customHeight="1" x14ac:dyDescent="0.3">
      <c r="P124" s="858"/>
      <c r="Q124" s="858"/>
      <c r="R124" s="858"/>
      <c r="S124" s="858"/>
      <c r="T124" s="858"/>
      <c r="U124" s="858"/>
      <c r="V124" s="858"/>
      <c r="W124" s="858"/>
      <c r="X124" s="858"/>
      <c r="Y124" s="858"/>
      <c r="Z124" s="858"/>
      <c r="AA124" s="858"/>
      <c r="AB124" s="858"/>
      <c r="AC124" s="858"/>
      <c r="AD124" s="858"/>
      <c r="AE124" s="858"/>
      <c r="AF124" s="858"/>
      <c r="AG124" s="858"/>
      <c r="AH124" s="858"/>
      <c r="AI124" s="858"/>
      <c r="AJ124" s="858"/>
      <c r="AK124" s="847"/>
    </row>
    <row r="125" spans="16:37" ht="20.399999999999999" customHeight="1" x14ac:dyDescent="0.3">
      <c r="P125" s="858"/>
      <c r="Q125" s="858"/>
      <c r="R125" s="858"/>
      <c r="S125" s="858"/>
      <c r="T125" s="858"/>
      <c r="U125" s="858"/>
      <c r="V125" s="858"/>
      <c r="W125" s="858"/>
      <c r="X125" s="858"/>
      <c r="Y125" s="858"/>
      <c r="Z125" s="858"/>
      <c r="AA125" s="858"/>
      <c r="AB125" s="858"/>
      <c r="AC125" s="858"/>
      <c r="AD125" s="858"/>
      <c r="AE125" s="858"/>
      <c r="AF125" s="858"/>
      <c r="AG125" s="858"/>
      <c r="AH125" s="858"/>
      <c r="AI125" s="858"/>
      <c r="AJ125" s="858"/>
      <c r="AK125" s="847"/>
    </row>
    <row r="126" spans="16:37" ht="20.399999999999999" customHeight="1" x14ac:dyDescent="0.3">
      <c r="P126" s="858"/>
      <c r="Q126" s="858"/>
      <c r="R126" s="858"/>
      <c r="S126" s="858"/>
      <c r="T126" s="858"/>
      <c r="U126" s="858"/>
      <c r="V126" s="858"/>
      <c r="W126" s="858"/>
      <c r="X126" s="858"/>
      <c r="Y126" s="858"/>
      <c r="Z126" s="858"/>
      <c r="AA126" s="858"/>
      <c r="AB126" s="858"/>
      <c r="AC126" s="858"/>
      <c r="AD126" s="858"/>
      <c r="AE126" s="858"/>
      <c r="AF126" s="858"/>
      <c r="AG126" s="858"/>
      <c r="AH126" s="858"/>
      <c r="AI126" s="858"/>
      <c r="AJ126" s="858"/>
      <c r="AK126" s="847"/>
    </row>
    <row r="127" spans="16:37" ht="20.399999999999999" customHeight="1" x14ac:dyDescent="0.3">
      <c r="P127" s="858"/>
      <c r="Q127" s="858"/>
      <c r="R127" s="858"/>
      <c r="S127" s="858"/>
      <c r="T127" s="858"/>
      <c r="U127" s="858"/>
      <c r="V127" s="858"/>
      <c r="W127" s="858"/>
      <c r="X127" s="858"/>
      <c r="Y127" s="858"/>
      <c r="Z127" s="858"/>
      <c r="AA127" s="858"/>
      <c r="AB127" s="858"/>
      <c r="AC127" s="858"/>
      <c r="AD127" s="858"/>
      <c r="AE127" s="858"/>
      <c r="AF127" s="858"/>
      <c r="AG127" s="858"/>
      <c r="AH127" s="858"/>
      <c r="AI127" s="858"/>
      <c r="AJ127" s="858"/>
      <c r="AK127" s="847"/>
    </row>
    <row r="128" spans="16:37" ht="20.399999999999999" customHeight="1" x14ac:dyDescent="0.3">
      <c r="P128" s="858"/>
      <c r="Q128" s="858"/>
      <c r="R128" s="858"/>
      <c r="S128" s="858"/>
      <c r="T128" s="858"/>
      <c r="U128" s="858"/>
      <c r="V128" s="858"/>
      <c r="W128" s="858"/>
      <c r="X128" s="858"/>
      <c r="Y128" s="858"/>
      <c r="Z128" s="858"/>
      <c r="AA128" s="858"/>
      <c r="AB128" s="858"/>
      <c r="AC128" s="858"/>
      <c r="AD128" s="858"/>
      <c r="AE128" s="858"/>
      <c r="AF128" s="858"/>
      <c r="AG128" s="858"/>
      <c r="AH128" s="858"/>
      <c r="AI128" s="858"/>
      <c r="AJ128" s="858"/>
      <c r="AK128" s="847"/>
    </row>
    <row r="129" spans="16:37" ht="20.399999999999999" customHeight="1" x14ac:dyDescent="0.3">
      <c r="P129" s="858"/>
      <c r="Q129" s="858"/>
      <c r="R129" s="858"/>
      <c r="S129" s="858"/>
      <c r="T129" s="858"/>
      <c r="U129" s="858"/>
      <c r="V129" s="858"/>
      <c r="W129" s="858"/>
      <c r="X129" s="858"/>
      <c r="Y129" s="858"/>
      <c r="Z129" s="858"/>
      <c r="AA129" s="858"/>
      <c r="AB129" s="858"/>
      <c r="AC129" s="858"/>
      <c r="AD129" s="858"/>
      <c r="AE129" s="858"/>
      <c r="AF129" s="858"/>
      <c r="AG129" s="858"/>
      <c r="AH129" s="858"/>
      <c r="AI129" s="858"/>
      <c r="AJ129" s="858"/>
      <c r="AK129" s="847"/>
    </row>
    <row r="130" spans="16:37" ht="20.399999999999999" customHeight="1" x14ac:dyDescent="0.3">
      <c r="P130" s="858"/>
      <c r="Q130" s="858"/>
      <c r="R130" s="858"/>
      <c r="S130" s="858"/>
      <c r="T130" s="858"/>
      <c r="U130" s="858"/>
      <c r="V130" s="858"/>
      <c r="W130" s="858"/>
      <c r="X130" s="858"/>
      <c r="Y130" s="858"/>
      <c r="Z130" s="858"/>
      <c r="AA130" s="858"/>
      <c r="AB130" s="858"/>
      <c r="AC130" s="858"/>
      <c r="AD130" s="858"/>
      <c r="AE130" s="858"/>
      <c r="AF130" s="858"/>
      <c r="AG130" s="858"/>
      <c r="AH130" s="858"/>
      <c r="AI130" s="858"/>
      <c r="AJ130" s="858"/>
      <c r="AK130" s="847"/>
    </row>
    <row r="131" spans="16:37" ht="20.399999999999999" customHeight="1" x14ac:dyDescent="0.3">
      <c r="P131" s="858"/>
      <c r="Q131" s="858"/>
      <c r="R131" s="858"/>
      <c r="S131" s="858"/>
      <c r="T131" s="858"/>
      <c r="U131" s="858"/>
      <c r="V131" s="858"/>
      <c r="W131" s="858"/>
      <c r="X131" s="858"/>
      <c r="Y131" s="858"/>
      <c r="Z131" s="858"/>
      <c r="AA131" s="858"/>
      <c r="AB131" s="858"/>
      <c r="AC131" s="858"/>
      <c r="AD131" s="858"/>
      <c r="AE131" s="858"/>
      <c r="AF131" s="858"/>
      <c r="AG131" s="858"/>
      <c r="AH131" s="858"/>
      <c r="AI131" s="858"/>
      <c r="AJ131" s="858"/>
      <c r="AK131" s="847"/>
    </row>
    <row r="132" spans="16:37" ht="20.399999999999999" customHeight="1" x14ac:dyDescent="0.3">
      <c r="P132" s="858"/>
      <c r="Q132" s="858"/>
      <c r="R132" s="858"/>
      <c r="S132" s="858"/>
      <c r="T132" s="858"/>
      <c r="U132" s="858"/>
      <c r="V132" s="858"/>
      <c r="W132" s="858"/>
      <c r="X132" s="858"/>
      <c r="Y132" s="858"/>
      <c r="Z132" s="858"/>
      <c r="AA132" s="858"/>
      <c r="AB132" s="858"/>
      <c r="AC132" s="858"/>
      <c r="AD132" s="858"/>
      <c r="AE132" s="858"/>
      <c r="AF132" s="858"/>
      <c r="AG132" s="858"/>
      <c r="AH132" s="858"/>
      <c r="AI132" s="858"/>
      <c r="AJ132" s="858"/>
      <c r="AK132" s="847"/>
    </row>
    <row r="133" spans="16:37" ht="20.399999999999999" customHeight="1" x14ac:dyDescent="0.3">
      <c r="P133" s="858"/>
      <c r="Q133" s="858"/>
      <c r="R133" s="858"/>
      <c r="S133" s="858"/>
      <c r="T133" s="858"/>
      <c r="U133" s="858"/>
      <c r="V133" s="858"/>
      <c r="W133" s="858"/>
      <c r="X133" s="858"/>
      <c r="Y133" s="858"/>
      <c r="Z133" s="858"/>
      <c r="AA133" s="858"/>
      <c r="AB133" s="858"/>
      <c r="AC133" s="858"/>
      <c r="AD133" s="858"/>
      <c r="AE133" s="858"/>
      <c r="AF133" s="858"/>
      <c r="AG133" s="858"/>
      <c r="AH133" s="858"/>
      <c r="AI133" s="858"/>
      <c r="AJ133" s="858"/>
      <c r="AK133" s="847"/>
    </row>
    <row r="134" spans="16:37" ht="20.399999999999999" customHeight="1" x14ac:dyDescent="0.3">
      <c r="P134" s="858"/>
      <c r="Q134" s="858"/>
      <c r="R134" s="858"/>
      <c r="S134" s="858"/>
      <c r="T134" s="858"/>
      <c r="U134" s="858"/>
      <c r="V134" s="858"/>
      <c r="W134" s="858"/>
      <c r="X134" s="858"/>
      <c r="Y134" s="858"/>
      <c r="Z134" s="858"/>
      <c r="AA134" s="858"/>
      <c r="AB134" s="858"/>
      <c r="AC134" s="858"/>
      <c r="AD134" s="858"/>
      <c r="AE134" s="858"/>
      <c r="AF134" s="858"/>
      <c r="AG134" s="858"/>
      <c r="AH134" s="858"/>
      <c r="AI134" s="858"/>
      <c r="AJ134" s="858"/>
      <c r="AK134" s="847"/>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P41:S41"/>
    <mergeCell ref="P42:Q42"/>
    <mergeCell ref="R42:S42"/>
    <mergeCell ref="G1:H1"/>
    <mergeCell ref="I1:J1"/>
    <mergeCell ref="B1:E1"/>
    <mergeCell ref="B3:E3"/>
    <mergeCell ref="B4:C4"/>
    <mergeCell ref="I5:J5"/>
    <mergeCell ref="B13:E13"/>
    <mergeCell ref="B5:C5"/>
    <mergeCell ref="B6:C6"/>
    <mergeCell ref="G6:H6"/>
    <mergeCell ref="G5:H5"/>
    <mergeCell ref="B14:C14"/>
    <mergeCell ref="G7:H7"/>
    <mergeCell ref="B7:C7"/>
    <mergeCell ref="B8:C8"/>
    <mergeCell ref="B9:C9"/>
    <mergeCell ref="B10:C10"/>
    <mergeCell ref="B11:C11"/>
    <mergeCell ref="G11:H11"/>
    <mergeCell ref="G10:H10"/>
    <mergeCell ref="G9:H9"/>
    <mergeCell ref="G8:H8"/>
    <mergeCell ref="G13:J13"/>
    <mergeCell ref="B20:C20"/>
    <mergeCell ref="B16:C16"/>
    <mergeCell ref="B17:C17"/>
    <mergeCell ref="B21:C21"/>
    <mergeCell ref="B15:C15"/>
    <mergeCell ref="B19:E19"/>
    <mergeCell ref="M44:N44"/>
    <mergeCell ref="M42:M43"/>
    <mergeCell ref="N42:N43"/>
    <mergeCell ref="B22:C22"/>
    <mergeCell ref="B41:K4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249"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926" t="str">
        <f>+'Plant Overview'!E6&amp;": Input to SSM"</f>
        <v>Plant A: Input to SSM</v>
      </c>
      <c r="C2" s="927"/>
      <c r="D2" s="927"/>
      <c r="E2" s="927"/>
      <c r="F2" s="927"/>
      <c r="G2" s="927"/>
      <c r="H2" s="927"/>
      <c r="I2" s="927"/>
      <c r="J2" s="927"/>
      <c r="K2" s="928"/>
    </row>
    <row r="4" spans="2:14" ht="17.399999999999999" customHeight="1" x14ac:dyDescent="0.3">
      <c r="B4" s="772" t="s">
        <v>462</v>
      </c>
      <c r="C4" s="773" t="s">
        <v>667</v>
      </c>
      <c r="D4" s="774" t="s">
        <v>235</v>
      </c>
      <c r="F4" s="1055" t="str">
        <f>+'Plant Overview'!D5</f>
        <v>Cost Estimate Details</v>
      </c>
      <c r="G4" s="1056"/>
      <c r="I4" s="1057" t="s">
        <v>496</v>
      </c>
      <c r="J4" s="1058"/>
      <c r="K4" s="775"/>
    </row>
    <row r="5" spans="2:14" ht="17.399999999999999" customHeight="1" x14ac:dyDescent="0.3">
      <c r="C5" s="776"/>
      <c r="F5" s="100" t="str">
        <f>+'Plant Overview'!D7</f>
        <v>Location</v>
      </c>
      <c r="G5" s="439" t="str">
        <f>+'Plant Overview'!E7</f>
        <v>Western Europe</v>
      </c>
      <c r="I5" s="777"/>
      <c r="J5" s="236"/>
      <c r="K5" s="236"/>
    </row>
    <row r="6" spans="2:14" ht="17.399999999999999" customHeight="1" x14ac:dyDescent="0.3">
      <c r="F6" s="100" t="str">
        <f>+'Plant Overview'!D8</f>
        <v>Year</v>
      </c>
      <c r="G6" s="100">
        <f>+'Plant Overview'!E8</f>
        <v>2020</v>
      </c>
      <c r="I6" s="1059" t="s">
        <v>765</v>
      </c>
      <c r="J6" s="259" t="s">
        <v>578</v>
      </c>
      <c r="K6" s="260" t="s">
        <v>579</v>
      </c>
      <c r="N6" s="1046"/>
    </row>
    <row r="7" spans="2:14" ht="17.399999999999999" customHeight="1" x14ac:dyDescent="0.3">
      <c r="F7" s="440" t="str">
        <f>+'Plant Overview'!D9</f>
        <v xml:space="preserve"> Currency</v>
      </c>
      <c r="G7" s="440" t="str">
        <f>+'Plant Overview'!E9</f>
        <v>€</v>
      </c>
      <c r="I7" s="1060"/>
      <c r="J7" s="86"/>
      <c r="K7" s="86"/>
      <c r="N7" s="1046"/>
    </row>
    <row r="8" spans="2:14" ht="17.399999999999999" customHeight="1" x14ac:dyDescent="0.3">
      <c r="I8" s="778"/>
    </row>
    <row r="9" spans="2:14" ht="17.399999999999999" customHeight="1" x14ac:dyDescent="0.3">
      <c r="F9" s="885" t="s">
        <v>580</v>
      </c>
      <c r="G9" s="886"/>
      <c r="H9" s="886"/>
      <c r="I9" s="886"/>
      <c r="J9" s="886"/>
      <c r="K9" s="887"/>
    </row>
    <row r="10" spans="2:14" ht="17.399999999999999" customHeight="1" x14ac:dyDescent="0.3">
      <c r="F10" s="888"/>
      <c r="G10" s="1047"/>
      <c r="H10" s="1047"/>
      <c r="I10" s="1047"/>
      <c r="J10" s="1047"/>
      <c r="K10" s="1048"/>
    </row>
    <row r="11" spans="2:14" ht="17.399999999999999" customHeight="1" x14ac:dyDescent="0.3">
      <c r="F11" s="1049"/>
      <c r="G11" s="1050"/>
      <c r="H11" s="1050"/>
      <c r="I11" s="1050"/>
      <c r="J11" s="1050"/>
      <c r="K11" s="1051"/>
    </row>
    <row r="12" spans="2:14" ht="17.399999999999999" customHeight="1" x14ac:dyDescent="0.3">
      <c r="F12" s="1052"/>
      <c r="G12" s="1053"/>
      <c r="H12" s="1053"/>
      <c r="I12" s="1053"/>
      <c r="J12" s="1053"/>
      <c r="K12" s="1054"/>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95" customHeight="1" x14ac:dyDescent="0.3"/>
    <row r="2" spans="2:37" ht="19.95" customHeight="1" x14ac:dyDescent="0.3">
      <c r="B2" s="207" t="s">
        <v>649</v>
      </c>
      <c r="C2" s="207"/>
      <c r="D2" s="207"/>
      <c r="E2" s="207"/>
      <c r="F2" s="207"/>
      <c r="G2" s="207"/>
      <c r="H2" s="207"/>
      <c r="I2" s="207"/>
      <c r="J2" s="207"/>
      <c r="K2" s="207"/>
      <c r="L2" s="209"/>
      <c r="M2" s="209"/>
      <c r="O2" s="1061" t="s">
        <v>500</v>
      </c>
      <c r="P2" s="1062"/>
      <c r="Q2" s="1062"/>
      <c r="R2" s="1063"/>
      <c r="T2" s="1061" t="s">
        <v>267</v>
      </c>
      <c r="U2" s="1063"/>
    </row>
    <row r="3" spans="2:37" ht="19.95" customHeight="1" x14ac:dyDescent="0.3">
      <c r="B3" s="1064" t="s">
        <v>698</v>
      </c>
      <c r="C3" s="1064"/>
      <c r="D3" s="1064"/>
      <c r="E3" s="1065"/>
      <c r="F3" s="1065"/>
      <c r="G3" s="1065"/>
      <c r="H3" s="1065"/>
      <c r="I3" s="1065"/>
      <c r="J3" s="1065"/>
      <c r="K3" s="207"/>
      <c r="L3" s="1016" t="s">
        <v>654</v>
      </c>
      <c r="M3" s="1017"/>
      <c r="N3" s="207"/>
      <c r="O3" s="465"/>
      <c r="P3" s="376"/>
      <c r="Q3" s="214" t="s">
        <v>470</v>
      </c>
      <c r="R3" s="215" t="s">
        <v>504</v>
      </c>
      <c r="T3" s="85"/>
      <c r="U3" s="390" t="s">
        <v>262</v>
      </c>
    </row>
    <row r="4" spans="2:37" ht="19.95" customHeight="1" x14ac:dyDescent="0.3">
      <c r="B4" s="420" t="s">
        <v>496</v>
      </c>
      <c r="C4" s="539" t="s">
        <v>697</v>
      </c>
      <c r="D4" s="594"/>
      <c r="E4" s="458"/>
      <c r="F4" s="424"/>
      <c r="G4" s="424"/>
      <c r="H4" s="424"/>
      <c r="I4" s="424"/>
      <c r="J4" s="425"/>
      <c r="K4" s="408"/>
      <c r="L4" s="422" t="s">
        <v>578</v>
      </c>
      <c r="M4" s="421"/>
      <c r="N4" s="408"/>
      <c r="O4" s="432"/>
      <c r="P4" s="386"/>
      <c r="Q4" s="188" t="s">
        <v>471</v>
      </c>
      <c r="R4" s="377" t="s">
        <v>505</v>
      </c>
      <c r="T4" s="208"/>
      <c r="U4" s="390" t="s">
        <v>263</v>
      </c>
    </row>
    <row r="5" spans="2:37" ht="19.95" customHeight="1" x14ac:dyDescent="0.3">
      <c r="B5" s="954"/>
      <c r="C5" s="532" t="s">
        <v>360</v>
      </c>
      <c r="D5" s="594"/>
      <c r="E5" s="459"/>
      <c r="F5" s="413"/>
      <c r="G5" s="413"/>
      <c r="H5" s="413"/>
      <c r="I5" s="413"/>
      <c r="J5" s="426"/>
      <c r="K5" s="408"/>
      <c r="L5" s="423" t="s">
        <v>579</v>
      </c>
      <c r="M5" s="421"/>
      <c r="N5" s="408"/>
      <c r="O5" s="432"/>
      <c r="P5" s="386"/>
      <c r="Q5" s="214" t="s">
        <v>465</v>
      </c>
      <c r="R5" s="215" t="s">
        <v>503</v>
      </c>
      <c r="T5" s="95"/>
      <c r="U5" s="467" t="s">
        <v>264</v>
      </c>
    </row>
    <row r="6" spans="2:37" ht="19.95" customHeight="1" x14ac:dyDescent="0.3">
      <c r="B6" s="1066"/>
      <c r="C6" s="539" t="s">
        <v>589</v>
      </c>
      <c r="D6" s="594"/>
      <c r="E6" s="459"/>
      <c r="F6" s="413"/>
      <c r="G6" s="413"/>
      <c r="H6" s="413"/>
      <c r="I6" s="413"/>
      <c r="J6" s="426"/>
      <c r="K6" s="408"/>
      <c r="L6" s="408"/>
      <c r="M6" s="408"/>
      <c r="N6" s="408"/>
      <c r="O6" s="432"/>
      <c r="P6" s="386"/>
      <c r="Q6" s="214" t="s">
        <v>466</v>
      </c>
      <c r="R6" s="215" t="s">
        <v>501</v>
      </c>
      <c r="T6" s="110"/>
      <c r="U6" s="472" t="s">
        <v>268</v>
      </c>
    </row>
    <row r="7" spans="2:37" ht="19.95" customHeight="1" x14ac:dyDescent="0.3">
      <c r="B7" s="955"/>
      <c r="C7" s="593" t="s">
        <v>312</v>
      </c>
      <c r="D7" s="594"/>
      <c r="E7" s="460"/>
      <c r="F7" s="427"/>
      <c r="G7" s="427"/>
      <c r="H7" s="427"/>
      <c r="I7" s="427"/>
      <c r="J7" s="428"/>
      <c r="K7" s="408"/>
      <c r="L7" s="408"/>
      <c r="M7" s="408"/>
      <c r="N7" s="408"/>
      <c r="O7" s="466"/>
      <c r="P7" s="467"/>
      <c r="Q7" s="214" t="s">
        <v>467</v>
      </c>
      <c r="R7" s="215" t="s">
        <v>502</v>
      </c>
    </row>
    <row r="8" spans="2:37" ht="19.95" customHeight="1" x14ac:dyDescent="0.3">
      <c r="B8" s="462">
        <v>1</v>
      </c>
      <c r="Q8" s="179"/>
      <c r="R8" s="179"/>
      <c r="S8" s="410"/>
      <c r="T8" s="409"/>
      <c r="AI8" s="92"/>
      <c r="AJ8" s="92"/>
      <c r="AK8" s="92"/>
    </row>
    <row r="9" spans="2:37" ht="19.95" customHeight="1" x14ac:dyDescent="0.3">
      <c r="B9" s="188" t="s">
        <v>653</v>
      </c>
      <c r="C9" s="1061"/>
      <c r="D9" s="1062"/>
      <c r="E9" s="1062"/>
      <c r="F9" s="1062"/>
      <c r="G9" s="1062"/>
      <c r="H9" s="1062"/>
      <c r="I9" s="1062"/>
      <c r="J9" s="1062"/>
      <c r="K9" s="1062"/>
      <c r="L9" s="1062"/>
      <c r="M9" s="1062"/>
      <c r="N9" s="1062"/>
      <c r="O9" s="1062"/>
      <c r="P9" s="1062"/>
      <c r="Q9" s="1062"/>
      <c r="R9" s="1062"/>
      <c r="S9" s="1062"/>
      <c r="T9" s="1062"/>
      <c r="U9" s="1063"/>
    </row>
    <row r="10" spans="2:37" ht="19.95" customHeight="1" x14ac:dyDescent="0.3">
      <c r="B10" s="929" t="s">
        <v>694</v>
      </c>
      <c r="C10" s="930"/>
      <c r="D10" s="930"/>
      <c r="E10" s="930"/>
      <c r="F10" s="930"/>
      <c r="G10" s="930"/>
      <c r="H10" s="930"/>
      <c r="I10" s="931"/>
      <c r="J10" s="929" t="s">
        <v>695</v>
      </c>
      <c r="K10" s="930"/>
      <c r="L10" s="930"/>
      <c r="M10" s="930"/>
      <c r="N10" s="930"/>
      <c r="O10" s="930"/>
      <c r="P10" s="930"/>
      <c r="Q10" s="930"/>
      <c r="R10" s="931"/>
      <c r="S10" s="929" t="s">
        <v>644</v>
      </c>
      <c r="T10" s="930"/>
      <c r="U10" s="931"/>
    </row>
    <row r="11" spans="2:37" ht="19.95" customHeight="1" x14ac:dyDescent="0.3">
      <c r="B11" s="539" t="s">
        <v>356</v>
      </c>
      <c r="C11" s="516" t="s">
        <v>646</v>
      </c>
      <c r="D11" s="539" t="s">
        <v>498</v>
      </c>
      <c r="E11" s="545" t="s">
        <v>464</v>
      </c>
      <c r="F11" s="545" t="s">
        <v>315</v>
      </c>
      <c r="G11" s="545" t="s">
        <v>509</v>
      </c>
      <c r="H11" s="539" t="s">
        <v>506</v>
      </c>
      <c r="I11" s="531" t="s">
        <v>235</v>
      </c>
      <c r="J11" s="530" t="s">
        <v>466</v>
      </c>
      <c r="K11" s="530" t="s">
        <v>467</v>
      </c>
      <c r="L11" s="537" t="s">
        <v>586</v>
      </c>
      <c r="M11" s="538" t="s">
        <v>469</v>
      </c>
      <c r="N11" s="534" t="s">
        <v>468</v>
      </c>
      <c r="O11" s="633" t="s">
        <v>650</v>
      </c>
      <c r="P11" s="633" t="s">
        <v>651</v>
      </c>
      <c r="Q11" s="538" t="s">
        <v>465</v>
      </c>
      <c r="R11" s="535" t="s">
        <v>639</v>
      </c>
      <c r="S11" s="633" t="s">
        <v>647</v>
      </c>
      <c r="T11" s="539" t="s">
        <v>360</v>
      </c>
      <c r="U11" s="591" t="s">
        <v>580</v>
      </c>
    </row>
    <row r="12" spans="2:37" ht="19.95" customHeight="1" x14ac:dyDescent="0.3">
      <c r="B12" s="465"/>
      <c r="C12" s="375"/>
      <c r="D12" s="375"/>
      <c r="E12" s="375"/>
      <c r="F12" s="375"/>
      <c r="G12" s="375"/>
      <c r="H12" s="375"/>
      <c r="I12" s="375"/>
      <c r="J12" s="465"/>
      <c r="K12" s="375"/>
      <c r="L12" s="375"/>
      <c r="M12" s="219"/>
      <c r="N12" s="219"/>
      <c r="O12" s="219"/>
      <c r="P12" s="219"/>
      <c r="Q12" s="375"/>
      <c r="R12" s="195" t="str" cm="1">
        <f t="array" aca="1" ref="R12" ca="1">+IF(N12&gt;0,N12*INDIRECT(ADDRESS(MATCH(F12,'Cost Conversion'!$B$3:$B$48,0)+2,4,1,1,"Cost conversion"))*INDIRECT(ADDRESS(MATCH(G12,'Cost Conversion'!$F$3:$F$22,0)+2,8,1,1,"Cost conversion"))/IF(E12="$",'Cost Conversion'!$L$2,1),"")</f>
        <v/>
      </c>
      <c r="S12" s="407"/>
      <c r="T12" s="328"/>
      <c r="U12" s="124"/>
    </row>
    <row r="13" spans="2:37" ht="19.95" customHeight="1" x14ac:dyDescent="0.3">
      <c r="B13" s="432"/>
      <c r="C13" s="471"/>
      <c r="D13" s="471"/>
      <c r="E13" s="471"/>
      <c r="F13" s="471"/>
      <c r="G13" s="471"/>
      <c r="H13" s="471"/>
      <c r="I13" s="471"/>
      <c r="J13" s="432"/>
      <c r="K13" s="471"/>
      <c r="L13" s="471"/>
      <c r="M13" s="387"/>
      <c r="N13" s="387"/>
      <c r="O13" s="471"/>
      <c r="P13" s="471"/>
      <c r="Q13" s="471"/>
      <c r="R13" s="195" t="str" cm="1">
        <f t="array" aca="1" ref="R13" ca="1">+IF(N13&gt;0,N13*INDIRECT(ADDRESS(MATCH(F13,'Cost Conversion'!$B$3:$B$48,0)+2,4,1,1,"Cost conversion"))*INDIRECT(ADDRESS(MATCH(G13,'Cost Conversion'!$F$3:$F$22,0)+2,8,1,1,"Cost conversion"))/IF(E13="$",'Cost Conversion'!$L$2,1),"")</f>
        <v/>
      </c>
      <c r="S13" s="432"/>
      <c r="T13" s="92"/>
      <c r="U13" s="84"/>
    </row>
    <row r="14" spans="2:37" ht="19.95" customHeight="1" x14ac:dyDescent="0.3">
      <c r="B14" s="432"/>
      <c r="C14" s="471"/>
      <c r="D14" s="471"/>
      <c r="E14" s="471"/>
      <c r="F14" s="471"/>
      <c r="G14" s="471"/>
      <c r="H14" s="471"/>
      <c r="I14" s="471"/>
      <c r="J14" s="432"/>
      <c r="K14" s="471"/>
      <c r="L14" s="471"/>
      <c r="M14" s="387"/>
      <c r="N14" s="387"/>
      <c r="O14" s="387"/>
      <c r="P14" s="387"/>
      <c r="Q14" s="471"/>
      <c r="R14" s="195" t="str" cm="1">
        <f t="array" aca="1" ref="R14" ca="1">+IF(N14&gt;0,N14*INDIRECT(ADDRESS(MATCH(F14,'Cost Conversion'!$B$3:$B$48,0)+2,4,1,1,"Cost conversion"))*INDIRECT(ADDRESS(MATCH(G14,'Cost Conversion'!$F$3:$F$22,0)+2,8,1,1,"Cost conversion"))/IF(E14="$",'Cost Conversion'!$L$2,1),"")</f>
        <v/>
      </c>
      <c r="S14" s="432"/>
      <c r="T14" s="92"/>
      <c r="U14" s="84"/>
    </row>
    <row r="15" spans="2:37" ht="19.95" customHeight="1" x14ac:dyDescent="0.3">
      <c r="B15" s="432"/>
      <c r="C15" s="471"/>
      <c r="D15" s="471"/>
      <c r="E15" s="471"/>
      <c r="F15" s="471"/>
      <c r="G15" s="471"/>
      <c r="H15" s="471"/>
      <c r="I15" s="411"/>
      <c r="J15" s="432"/>
      <c r="K15" s="471"/>
      <c r="L15" s="471"/>
      <c r="M15" s="387"/>
      <c r="N15" s="471"/>
      <c r="O15" s="471"/>
      <c r="P15" s="471"/>
      <c r="Q15" s="471"/>
      <c r="R15" s="195" t="str" cm="1">
        <f t="array" aca="1" ref="R15" ca="1">+IF(N15&gt;0,N15*INDIRECT(ADDRESS(MATCH(F15,'Cost Conversion'!$B$3:$B$48,0)+2,4,1,1,"Cost conversion"))*INDIRECT(ADDRESS(MATCH(G15,'Cost Conversion'!$F$3:$F$22,0)+2,8,1,1,"Cost conversion"))/IF(E15="$",'Cost Conversion'!$L$2,1),"")</f>
        <v/>
      </c>
      <c r="S15" s="432"/>
      <c r="T15" s="92"/>
      <c r="U15" s="84"/>
    </row>
    <row r="16" spans="2:37" ht="19.95" customHeight="1" x14ac:dyDescent="0.3">
      <c r="B16" s="432"/>
      <c r="C16" s="471"/>
      <c r="D16" s="471"/>
      <c r="E16" s="471"/>
      <c r="F16" s="471"/>
      <c r="G16" s="471"/>
      <c r="H16" s="471"/>
      <c r="I16" s="471"/>
      <c r="J16" s="432"/>
      <c r="K16" s="471"/>
      <c r="L16" s="471"/>
      <c r="M16" s="471"/>
      <c r="N16" s="471"/>
      <c r="O16" s="471"/>
      <c r="P16" s="471"/>
      <c r="Q16" s="471"/>
      <c r="R16" s="195" t="str" cm="1">
        <f t="array" aca="1" ref="R16" ca="1">+IF(N16&gt;0,N16*INDIRECT(ADDRESS(MATCH(F16,'Cost Conversion'!$B$3:$B$48,0)+2,4,1,1,"Cost conversion"))*INDIRECT(ADDRESS(MATCH(G16,'Cost Conversion'!$F$3:$F$22,0)+2,8,1,1,"Cost conversion"))/IF(E16="$",'Cost Conversion'!$L$2,1),"")</f>
        <v/>
      </c>
      <c r="S16" s="432"/>
      <c r="T16" s="92"/>
      <c r="U16" s="84"/>
    </row>
    <row r="17" spans="2:21" ht="19.95" customHeight="1" x14ac:dyDescent="0.3">
      <c r="B17" s="466"/>
      <c r="C17" s="385"/>
      <c r="D17" s="385"/>
      <c r="E17" s="385"/>
      <c r="F17" s="385"/>
      <c r="G17" s="385"/>
      <c r="H17" s="385"/>
      <c r="I17" s="385"/>
      <c r="J17" s="466"/>
      <c r="K17" s="385"/>
      <c r="L17" s="385"/>
      <c r="M17" s="385"/>
      <c r="N17" s="385"/>
      <c r="O17" s="385"/>
      <c r="P17" s="385"/>
      <c r="Q17" s="385"/>
      <c r="R17" s="195" t="str" cm="1">
        <f t="array" aca="1" ref="R17" ca="1">+IF(N17&gt;0,N17*INDIRECT(ADDRESS(MATCH(F17,'Cost Conversion'!$B$3:$B$48,0)+2,4,1,1,"Cost conversion"))*INDIRECT(ADDRESS(MATCH(G17,'Cost Conversion'!$F$3:$F$22,0)+2,8,1,1,"Cost conversion"))/IF(E17="$",'Cost Conversion'!$L$2,1),"")</f>
        <v/>
      </c>
      <c r="S17" s="466"/>
      <c r="T17" s="392"/>
      <c r="U17" s="394"/>
    </row>
    <row r="18" spans="2:21" ht="19.95" customHeight="1" x14ac:dyDescent="0.3">
      <c r="B18" s="465"/>
      <c r="C18" s="375"/>
      <c r="D18" s="375"/>
      <c r="E18" s="375"/>
      <c r="F18" s="375"/>
      <c r="G18" s="375"/>
      <c r="H18" s="375"/>
      <c r="I18" s="375"/>
      <c r="J18" s="375"/>
      <c r="K18" s="375"/>
      <c r="L18" s="375"/>
      <c r="M18" s="375"/>
      <c r="N18" s="375"/>
      <c r="O18" s="375"/>
      <c r="P18" s="375"/>
      <c r="Q18" s="375"/>
      <c r="R18" s="375"/>
      <c r="S18" s="375"/>
      <c r="T18" s="328"/>
      <c r="U18" s="124"/>
    </row>
    <row r="19" spans="2:21" ht="19.95" customHeight="1" x14ac:dyDescent="0.3">
      <c r="B19" s="432"/>
      <c r="C19" s="471"/>
      <c r="D19" s="471"/>
      <c r="E19" s="471"/>
      <c r="F19" s="471"/>
      <c r="G19" s="471"/>
      <c r="H19" s="471"/>
      <c r="I19" s="471"/>
      <c r="J19" s="471"/>
      <c r="K19" s="471"/>
      <c r="L19" s="471"/>
      <c r="M19" s="471"/>
      <c r="N19" s="471"/>
      <c r="O19" s="471"/>
      <c r="P19" s="471"/>
      <c r="Q19" s="471"/>
      <c r="R19" s="471"/>
      <c r="S19" s="471"/>
      <c r="T19" s="92"/>
      <c r="U19" s="84"/>
    </row>
    <row r="20" spans="2:21" ht="19.95" customHeight="1" x14ac:dyDescent="0.3">
      <c r="B20" s="432"/>
      <c r="C20" s="471"/>
      <c r="D20" s="471"/>
      <c r="E20" s="471"/>
      <c r="F20" s="471"/>
      <c r="G20" s="471"/>
      <c r="H20" s="471"/>
      <c r="I20" s="471"/>
      <c r="J20" s="471"/>
      <c r="K20" s="471"/>
      <c r="L20" s="471"/>
      <c r="M20" s="471"/>
      <c r="N20" s="471"/>
      <c r="O20" s="471"/>
      <c r="P20" s="471"/>
      <c r="Q20" s="471"/>
      <c r="R20" s="471"/>
      <c r="S20" s="471"/>
      <c r="T20" s="92"/>
      <c r="U20" s="84"/>
    </row>
    <row r="21" spans="2:21" ht="19.95" customHeight="1" x14ac:dyDescent="0.3">
      <c r="B21" s="432"/>
      <c r="C21" s="471"/>
      <c r="D21" s="471"/>
      <c r="E21" s="471"/>
      <c r="F21" s="471"/>
      <c r="G21" s="471"/>
      <c r="H21" s="471"/>
      <c r="I21" s="471"/>
      <c r="J21" s="1001" t="str">
        <f>+B9&amp;" "&amp;D6</f>
        <v xml:space="preserve">BENCHMARK  </v>
      </c>
      <c r="K21" s="1002"/>
      <c r="L21" s="1002"/>
      <c r="M21" s="1002"/>
      <c r="N21" s="1002"/>
      <c r="O21" s="1002"/>
      <c r="P21" s="1002"/>
      <c r="Q21" s="1002"/>
      <c r="R21" s="1002"/>
      <c r="S21" s="1002"/>
      <c r="T21" s="1003"/>
      <c r="U21" s="84"/>
    </row>
    <row r="22" spans="2:21" ht="19.95" customHeight="1" x14ac:dyDescent="0.3">
      <c r="B22" s="432"/>
      <c r="C22" s="471"/>
      <c r="D22" s="471"/>
      <c r="E22" s="471"/>
      <c r="F22" s="471"/>
      <c r="G22" s="471"/>
      <c r="H22" s="471"/>
      <c r="I22" s="471"/>
      <c r="J22" s="414" t="s">
        <v>648</v>
      </c>
      <c r="K22" s="415">
        <v>1</v>
      </c>
      <c r="L22" s="415">
        <v>2</v>
      </c>
      <c r="M22" s="415">
        <v>3</v>
      </c>
      <c r="N22" s="415">
        <v>4</v>
      </c>
      <c r="O22" s="415">
        <v>5</v>
      </c>
      <c r="P22" s="415">
        <v>6</v>
      </c>
      <c r="Q22" s="415">
        <v>7</v>
      </c>
      <c r="R22" s="415">
        <v>8</v>
      </c>
      <c r="S22" s="415">
        <v>9</v>
      </c>
      <c r="T22" s="416">
        <v>10</v>
      </c>
      <c r="U22" s="84"/>
    </row>
    <row r="23" spans="2:21" ht="19.95" customHeight="1" x14ac:dyDescent="0.3">
      <c r="B23" s="432"/>
      <c r="C23" s="471"/>
      <c r="D23" s="471"/>
      <c r="E23" s="471"/>
      <c r="F23" s="471"/>
      <c r="G23" s="471"/>
      <c r="H23" s="471"/>
      <c r="I23" s="471"/>
      <c r="J23" s="86" t="str">
        <f>+TEXT(H12,0)&amp;" "&amp;"("&amp;TEXT(I12,0)&amp;")"</f>
        <v>0 (0)</v>
      </c>
      <c r="K23" s="443">
        <f>+P12</f>
        <v>0</v>
      </c>
      <c r="L23" s="417">
        <f>+K23+(O12-P12)/(T22-1)</f>
        <v>0</v>
      </c>
      <c r="M23" s="417">
        <f>+L23+(O12-P12)/(T22-1)</f>
        <v>0</v>
      </c>
      <c r="N23" s="417">
        <f>+M23+(O12-P12)/(T22-1)</f>
        <v>0</v>
      </c>
      <c r="O23" s="417">
        <f>+N23+(O12-P12)/(T22-1)</f>
        <v>0</v>
      </c>
      <c r="P23" s="417">
        <f>+O23+(O12-P12)/(T22-1)</f>
        <v>0</v>
      </c>
      <c r="Q23" s="417">
        <f>+P23+(O12-P12)/(T22-1)</f>
        <v>0</v>
      </c>
      <c r="R23" s="417">
        <f>+Q23+(O12-P12)/(T22-1)</f>
        <v>0</v>
      </c>
      <c r="S23" s="417">
        <f>+R23+(O12-P12)/(T22-1)</f>
        <v>0</v>
      </c>
      <c r="T23" s="418">
        <f>+S23+(O12-P12)/(T22-1)</f>
        <v>0</v>
      </c>
      <c r="U23" s="84"/>
    </row>
    <row r="24" spans="2:21" ht="19.95" customHeight="1" x14ac:dyDescent="0.3">
      <c r="B24" s="432"/>
      <c r="C24" s="471"/>
      <c r="D24" s="471"/>
      <c r="E24" s="471"/>
      <c r="F24" s="471"/>
      <c r="G24" s="471"/>
      <c r="H24" s="471"/>
      <c r="I24" s="471"/>
      <c r="J24" s="255" t="str">
        <f>+IF(B12="","",TEXT(B12,0)&amp;" - Scaling")</f>
        <v/>
      </c>
      <c r="K24" s="483" t="e">
        <f ca="1">+(Q12/L12)^J12*R12*((K23/Q12)/(M12/L12))^K12</f>
        <v>#DIV/0!</v>
      </c>
      <c r="L24" s="484" t="e">
        <f ca="1">+(Q12/L12)^J12*R12*((L23/Q12)/(M12/L12))^K12</f>
        <v>#DIV/0!</v>
      </c>
      <c r="M24" s="484" t="e">
        <f ca="1">+(Q12/L12)^J12*R12*((M23/Q12)/(M12/L12))^K12</f>
        <v>#DIV/0!</v>
      </c>
      <c r="N24" s="484" t="e">
        <f ca="1">+(Q12/L12)^J12*R12*((N23/Q12)/(M12/L12))^K12</f>
        <v>#DIV/0!</v>
      </c>
      <c r="O24" s="484" t="e">
        <f ca="1">+(Q12/L12)^J12*R12*((O23/Q12)/(M12/L12))^K12</f>
        <v>#DIV/0!</v>
      </c>
      <c r="P24" s="484" t="e">
        <f ca="1">+(Q12/L12)^J12*R12*((P23/Q12)/(M12/L12))^K12</f>
        <v>#DIV/0!</v>
      </c>
      <c r="Q24" s="484" t="e">
        <f ca="1">+(Q12/L12)^J12*R12*((Q23/Q12)/(M12/L12))^K12</f>
        <v>#DIV/0!</v>
      </c>
      <c r="R24" s="484" t="e">
        <f ca="1">+(Q12/L12)^J12*R12*((R23/Q12)/(M12/L12))^K12</f>
        <v>#DIV/0!</v>
      </c>
      <c r="S24" s="484" t="e">
        <f ca="1">+(Q12/L12)^J12*R12*((S23/Q12)/(M12/L12))^K12</f>
        <v>#DIV/0!</v>
      </c>
      <c r="T24" s="485" t="e">
        <f ca="1">+(Q12/L12)^J12*R12*((T23/Q12)/(M12/L12))^K12</f>
        <v>#DIV/0!</v>
      </c>
      <c r="U24" s="84"/>
    </row>
    <row r="25" spans="2:21" ht="19.95" customHeight="1" x14ac:dyDescent="0.3">
      <c r="B25" s="432"/>
      <c r="C25" s="471"/>
      <c r="D25" s="471"/>
      <c r="E25" s="471"/>
      <c r="F25" s="471"/>
      <c r="G25" s="471"/>
      <c r="H25" s="471"/>
      <c r="I25" s="471"/>
      <c r="J25" s="255" t="str">
        <f t="shared" ref="J25:J29" si="0">+IF(B13="","",TEXT(B13,0)&amp;" - Scaling")</f>
        <v/>
      </c>
      <c r="K25" s="486"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87" t="e">
        <f ca="1">+(Q13/L13)^J13*R13*((T23/Q13)/(M13/L13))^K13</f>
        <v>#DIV/0!</v>
      </c>
      <c r="U25" s="84"/>
    </row>
    <row r="26" spans="2:21" ht="19.95" customHeight="1" x14ac:dyDescent="0.3">
      <c r="B26" s="432"/>
      <c r="C26" s="471"/>
      <c r="D26" s="471"/>
      <c r="E26" s="471"/>
      <c r="F26" s="471"/>
      <c r="G26" s="471"/>
      <c r="H26" s="471"/>
      <c r="I26" s="471"/>
      <c r="J26" s="255" t="str">
        <f t="shared" si="0"/>
        <v/>
      </c>
      <c r="K26" s="486"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87" t="e">
        <f ca="1">+(Q14/L14)^J14*R14*((T23/Q14)/(M14/L14))^K14</f>
        <v>#DIV/0!</v>
      </c>
      <c r="U26" s="84"/>
    </row>
    <row r="27" spans="2:21" ht="19.95" customHeight="1" x14ac:dyDescent="0.3">
      <c r="B27" s="432"/>
      <c r="C27" s="471"/>
      <c r="D27" s="471"/>
      <c r="E27" s="471"/>
      <c r="F27" s="471"/>
      <c r="G27" s="471"/>
      <c r="H27" s="471"/>
      <c r="I27" s="471"/>
      <c r="J27" s="255" t="str">
        <f t="shared" si="0"/>
        <v/>
      </c>
      <c r="K27" s="486"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87" t="e">
        <f ca="1">+(Q15/L15)^J15*R15*((T23/Q15)/(M15/L15))^K15</f>
        <v>#DIV/0!</v>
      </c>
      <c r="U27" s="84"/>
    </row>
    <row r="28" spans="2:21" ht="19.95" customHeight="1" x14ac:dyDescent="0.3">
      <c r="B28" s="432"/>
      <c r="C28" s="471"/>
      <c r="D28" s="471"/>
      <c r="E28" s="471"/>
      <c r="F28" s="471"/>
      <c r="G28" s="471"/>
      <c r="H28" s="471"/>
      <c r="I28" s="471"/>
      <c r="J28" s="255" t="str">
        <f t="shared" si="0"/>
        <v/>
      </c>
      <c r="K28" s="381"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87" t="e">
        <f ca="1">+(Q16/L16)^J16*R16*((T23/Q16)/(M16/L16))^K16</f>
        <v>#DIV/0!</v>
      </c>
      <c r="U28" s="84"/>
    </row>
    <row r="29" spans="2:21" ht="19.95" customHeight="1" x14ac:dyDescent="0.3">
      <c r="B29" s="432"/>
      <c r="C29" s="471"/>
      <c r="D29" s="471"/>
      <c r="E29" s="471"/>
      <c r="F29" s="471"/>
      <c r="G29" s="471"/>
      <c r="H29" s="471"/>
      <c r="I29" s="471"/>
      <c r="J29" s="255" t="str">
        <f t="shared" si="0"/>
        <v/>
      </c>
      <c r="K29" s="488" t="e">
        <f ca="1">+(Q17/L17)^J17*R17*((K23/Q17)/(M17/L17))^K17</f>
        <v>#DIV/0!</v>
      </c>
      <c r="L29" s="489" t="e">
        <f ca="1">+(Q17/L17)^J17*R17*((L23/Q17)/(M17/L17))^K17</f>
        <v>#DIV/0!</v>
      </c>
      <c r="M29" s="489" t="e">
        <f ca="1">+(Q17/L17)^J17*R17*((M23/Q17)/(M17/L17))^K17</f>
        <v>#DIV/0!</v>
      </c>
      <c r="N29" s="489" t="e">
        <f ca="1">+(Q17/L17)^J17*R17*((N23/Q17)/(M17/L17))^K17</f>
        <v>#DIV/0!</v>
      </c>
      <c r="O29" s="489" t="e">
        <f ca="1">+(Q17/L17)^J17*R17*((O23/Q17)/(M17/L17))^K17</f>
        <v>#DIV/0!</v>
      </c>
      <c r="P29" s="489" t="e" cm="1">
        <f t="array" aca="1" ref="P29" ca="1">+(Q17/L17)^J17*R17*((P23/Q17)/(M17/P26L17))^K17</f>
        <v>#DIV/0!</v>
      </c>
      <c r="Q29" s="489" t="e">
        <f ca="1">+(Q17/L17)^J17*R17*((Q23/Q17)/(M17/L17))^K17</f>
        <v>#DIV/0!</v>
      </c>
      <c r="R29" s="489" t="e">
        <f ca="1">+(Q17/L17)^J17*R17*((R23/Q17)/(M17/L17))^K17</f>
        <v>#DIV/0!</v>
      </c>
      <c r="S29" s="489" t="e">
        <f ca="1">+(Q17/L17)^J17*R17*((S23/Q17)/(M17/L17))^K17</f>
        <v>#DIV/0!</v>
      </c>
      <c r="T29" s="490" t="e">
        <f ca="1">+(Q17/L17)^J17*R17*((T23/Q17)/(M17/L17))^K17</f>
        <v>#DIV/0!</v>
      </c>
      <c r="U29" s="84"/>
    </row>
    <row r="30" spans="2:21" ht="19.95" customHeight="1" x14ac:dyDescent="0.3">
      <c r="B30" s="432"/>
      <c r="C30" s="471"/>
      <c r="D30" s="471"/>
      <c r="E30" s="471"/>
      <c r="F30" s="471"/>
      <c r="G30" s="471"/>
      <c r="H30" s="471"/>
      <c r="I30" s="471"/>
      <c r="J30" s="492" t="s">
        <v>576</v>
      </c>
      <c r="K30" s="492" t="s">
        <v>652</v>
      </c>
      <c r="L30" s="254"/>
      <c r="M30" s="254"/>
      <c r="N30" s="254"/>
      <c r="O30" s="254"/>
      <c r="P30" s="254"/>
      <c r="Q30" s="254"/>
      <c r="R30" s="254"/>
      <c r="S30" s="254"/>
      <c r="T30" s="491"/>
      <c r="U30" s="84"/>
    </row>
    <row r="31" spans="2:21" ht="19.95" customHeight="1" x14ac:dyDescent="0.3">
      <c r="B31" s="432"/>
      <c r="C31" s="471"/>
      <c r="D31" s="471"/>
      <c r="E31" s="471"/>
      <c r="F31" s="471"/>
      <c r="G31" s="471"/>
      <c r="H31" s="471"/>
      <c r="I31" s="471"/>
      <c r="J31" s="767" t="str">
        <f>+IF(B12="","",B12)</f>
        <v/>
      </c>
      <c r="K31" s="768" t="e">
        <f ca="1">+R12/(M12/Q12)</f>
        <v>#VALUE!</v>
      </c>
      <c r="L31" s="254"/>
      <c r="M31" s="254"/>
      <c r="N31" s="254"/>
      <c r="O31" s="254"/>
      <c r="P31" s="254"/>
      <c r="Q31" s="254"/>
      <c r="R31" s="254"/>
      <c r="S31" s="254"/>
      <c r="T31" s="491"/>
      <c r="U31" s="84"/>
    </row>
    <row r="32" spans="2:21" ht="19.95" customHeight="1" x14ac:dyDescent="0.3">
      <c r="B32" s="432"/>
      <c r="C32" s="471"/>
      <c r="D32" s="471"/>
      <c r="E32" s="471"/>
      <c r="F32" s="471"/>
      <c r="G32" s="471"/>
      <c r="H32" s="471"/>
      <c r="I32" s="471"/>
      <c r="J32" s="381" t="str">
        <f t="shared" ref="J32:J34" si="1">+IF(B13="","",B13)</f>
        <v/>
      </c>
      <c r="K32" s="769" t="e">
        <f ca="1">+R13/(M13/Q13)</f>
        <v>#VALUE!</v>
      </c>
      <c r="L32" s="254"/>
      <c r="M32" s="254"/>
      <c r="N32" s="254"/>
      <c r="O32" s="254"/>
      <c r="P32" s="254"/>
      <c r="Q32" s="254"/>
      <c r="R32" s="254"/>
      <c r="S32" s="254"/>
      <c r="T32" s="491"/>
      <c r="U32" s="84"/>
    </row>
    <row r="33" spans="2:21" ht="19.95" customHeight="1" x14ac:dyDescent="0.3">
      <c r="B33" s="91"/>
      <c r="C33" s="92"/>
      <c r="D33" s="92"/>
      <c r="E33" s="92"/>
      <c r="F33" s="471"/>
      <c r="G33" s="471"/>
      <c r="H33" s="92"/>
      <c r="I33" s="92"/>
      <c r="J33" s="381" t="str">
        <f t="shared" si="1"/>
        <v/>
      </c>
      <c r="K33" s="769" t="e">
        <f ca="1">+R14/(M14/Q14)</f>
        <v>#VALUE!</v>
      </c>
      <c r="L33" s="491"/>
      <c r="M33" s="491"/>
      <c r="N33" s="491"/>
      <c r="O33" s="491"/>
      <c r="P33" s="491"/>
      <c r="Q33" s="491"/>
      <c r="R33" s="491"/>
      <c r="S33" s="491"/>
      <c r="T33" s="491"/>
      <c r="U33" s="84"/>
    </row>
    <row r="34" spans="2:21" ht="19.95" customHeight="1" x14ac:dyDescent="0.3">
      <c r="B34" s="91"/>
      <c r="C34" s="92"/>
      <c r="D34" s="92"/>
      <c r="E34" s="92"/>
      <c r="F34" s="471"/>
      <c r="G34" s="471"/>
      <c r="H34" s="92"/>
      <c r="I34" s="92"/>
      <c r="J34" s="381" t="str">
        <f t="shared" si="1"/>
        <v/>
      </c>
      <c r="K34" s="769" t="e">
        <f ca="1">+R15/(M15/Q15)</f>
        <v>#VALUE!</v>
      </c>
      <c r="L34" s="491"/>
      <c r="M34" s="491"/>
      <c r="N34" s="491"/>
      <c r="O34" s="491"/>
      <c r="P34" s="491"/>
      <c r="Q34" s="491"/>
      <c r="R34" s="491"/>
      <c r="S34" s="491"/>
      <c r="T34" s="491"/>
      <c r="U34" s="84"/>
    </row>
    <row r="35" spans="2:21" ht="19.95" customHeight="1" x14ac:dyDescent="0.3">
      <c r="B35" s="91"/>
      <c r="C35" s="92"/>
      <c r="D35" s="92"/>
      <c r="E35" s="92"/>
      <c r="F35" s="471"/>
      <c r="G35" s="471"/>
      <c r="H35" s="92"/>
      <c r="I35" s="92"/>
      <c r="J35" s="381" t="str">
        <f t="shared" ref="J35:J36" si="2">+IF(B16="","",B16)</f>
        <v/>
      </c>
      <c r="K35" s="769" t="e">
        <f t="shared" ref="K35:K36" ca="1" si="3">+R16/(M16/Q16)</f>
        <v>#VALUE!</v>
      </c>
      <c r="L35" s="491"/>
      <c r="M35" s="491"/>
      <c r="N35" s="491"/>
      <c r="O35" s="491"/>
      <c r="P35" s="491"/>
      <c r="Q35" s="491"/>
      <c r="R35" s="491"/>
      <c r="S35" s="491"/>
      <c r="T35" s="491"/>
      <c r="U35" s="84"/>
    </row>
    <row r="36" spans="2:21" ht="19.95" customHeight="1" x14ac:dyDescent="0.3">
      <c r="B36" s="91"/>
      <c r="C36" s="92"/>
      <c r="D36" s="92"/>
      <c r="E36" s="92"/>
      <c r="F36" s="471"/>
      <c r="G36" s="471"/>
      <c r="H36" s="92"/>
      <c r="I36" s="92"/>
      <c r="J36" s="488" t="str">
        <f t="shared" si="2"/>
        <v/>
      </c>
      <c r="K36" s="770" t="e">
        <f t="shared" ca="1" si="3"/>
        <v>#VALUE!</v>
      </c>
      <c r="L36" s="491"/>
      <c r="M36" s="491"/>
      <c r="N36" s="491"/>
      <c r="O36" s="491"/>
      <c r="P36" s="491"/>
      <c r="Q36" s="491"/>
      <c r="R36" s="491"/>
      <c r="S36" s="491"/>
      <c r="T36" s="491"/>
      <c r="U36" s="84"/>
    </row>
    <row r="37" spans="2:21" ht="19.95" customHeight="1" x14ac:dyDescent="0.3">
      <c r="B37" s="91"/>
      <c r="C37" s="92"/>
      <c r="D37" s="92"/>
      <c r="E37" s="92"/>
      <c r="F37" s="471"/>
      <c r="G37" s="471"/>
      <c r="H37" s="92"/>
      <c r="I37" s="92"/>
      <c r="J37" s="491"/>
      <c r="K37" s="491"/>
      <c r="L37" s="491"/>
      <c r="M37" s="491"/>
      <c r="N37" s="491"/>
      <c r="O37" s="491"/>
      <c r="P37" s="491"/>
      <c r="Q37" s="491"/>
      <c r="R37" s="491"/>
      <c r="S37" s="491"/>
      <c r="T37" s="491"/>
      <c r="U37" s="84"/>
    </row>
    <row r="38" spans="2:21" ht="19.95" customHeight="1" x14ac:dyDescent="0.3">
      <c r="B38" s="91"/>
      <c r="C38" s="92"/>
      <c r="D38" s="92"/>
      <c r="E38" s="92"/>
      <c r="F38" s="471"/>
      <c r="G38" s="471"/>
      <c r="H38" s="92"/>
      <c r="I38" s="92"/>
      <c r="J38" s="92"/>
      <c r="K38" s="92"/>
      <c r="L38" s="92"/>
      <c r="M38" s="92"/>
      <c r="N38" s="92"/>
      <c r="O38" s="92"/>
      <c r="P38" s="92"/>
      <c r="Q38" s="92"/>
      <c r="R38" s="92"/>
      <c r="S38" s="92"/>
      <c r="T38" s="92"/>
      <c r="U38" s="84"/>
    </row>
    <row r="39" spans="2:21" ht="19.95" customHeight="1" x14ac:dyDescent="0.3">
      <c r="B39" s="91"/>
      <c r="C39" s="92"/>
      <c r="D39" s="92"/>
      <c r="E39" s="92"/>
      <c r="F39" s="471"/>
      <c r="G39" s="471"/>
      <c r="H39" s="92"/>
      <c r="I39" s="92"/>
      <c r="J39" s="92"/>
      <c r="K39" s="92"/>
      <c r="L39" s="92"/>
      <c r="M39" s="92"/>
      <c r="N39" s="92"/>
      <c r="O39" s="92"/>
      <c r="P39" s="92"/>
      <c r="Q39" s="92"/>
      <c r="R39" s="92"/>
      <c r="S39" s="92"/>
      <c r="T39" s="92"/>
      <c r="U39" s="84"/>
    </row>
    <row r="40" spans="2:21" ht="19.95" customHeight="1" x14ac:dyDescent="0.3">
      <c r="B40" s="91"/>
      <c r="C40" s="92"/>
      <c r="D40" s="92"/>
      <c r="E40" s="92"/>
      <c r="F40" s="471"/>
      <c r="G40" s="471"/>
      <c r="H40" s="92"/>
      <c r="I40" s="92"/>
      <c r="J40" s="92"/>
      <c r="K40" s="92"/>
      <c r="L40" s="92"/>
      <c r="M40" s="92"/>
      <c r="N40" s="92"/>
      <c r="O40" s="92"/>
      <c r="P40" s="92"/>
      <c r="Q40" s="92"/>
      <c r="R40" s="92"/>
      <c r="S40" s="92"/>
      <c r="T40" s="92"/>
      <c r="U40" s="84"/>
    </row>
    <row r="41" spans="2:21" ht="19.95" customHeight="1" x14ac:dyDescent="0.3">
      <c r="B41" s="91"/>
      <c r="C41" s="92"/>
      <c r="D41" s="92"/>
      <c r="E41" s="92"/>
      <c r="F41" s="471"/>
      <c r="G41" s="471"/>
      <c r="H41" s="92"/>
      <c r="I41" s="92"/>
      <c r="J41" s="92"/>
      <c r="K41" s="92"/>
      <c r="L41" s="92"/>
      <c r="M41" s="92"/>
      <c r="N41" s="92"/>
      <c r="O41" s="92"/>
      <c r="P41" s="92"/>
      <c r="Q41" s="92"/>
      <c r="R41" s="92"/>
      <c r="S41" s="92"/>
      <c r="T41" s="92"/>
      <c r="U41" s="84"/>
    </row>
    <row r="42" spans="2:21" ht="19.95" customHeight="1" x14ac:dyDescent="0.3">
      <c r="B42" s="91"/>
      <c r="C42" s="92"/>
      <c r="D42" s="92"/>
      <c r="E42" s="92"/>
      <c r="F42" s="471"/>
      <c r="G42" s="471"/>
      <c r="H42" s="92"/>
      <c r="I42" s="92"/>
      <c r="J42" s="92"/>
      <c r="K42" s="92"/>
      <c r="L42" s="92"/>
      <c r="M42" s="92"/>
      <c r="N42" s="92"/>
      <c r="O42" s="92"/>
      <c r="P42" s="92"/>
      <c r="Q42" s="92"/>
      <c r="R42" s="92"/>
      <c r="S42" s="92"/>
      <c r="T42" s="92"/>
      <c r="U42" s="84"/>
    </row>
    <row r="43" spans="2:21" ht="19.95" customHeight="1" x14ac:dyDescent="0.3">
      <c r="B43" s="391"/>
      <c r="C43" s="392"/>
      <c r="D43" s="392"/>
      <c r="E43" s="392"/>
      <c r="F43" s="385"/>
      <c r="G43" s="385"/>
      <c r="H43" s="392"/>
      <c r="I43" s="392"/>
      <c r="J43" s="392"/>
      <c r="K43" s="392"/>
      <c r="L43" s="392"/>
      <c r="M43" s="392"/>
      <c r="N43" s="392"/>
      <c r="O43" s="392"/>
      <c r="P43" s="392"/>
      <c r="Q43" s="392"/>
      <c r="R43" s="392"/>
      <c r="S43" s="392"/>
      <c r="T43" s="392"/>
      <c r="U43" s="394"/>
    </row>
    <row r="44" spans="2:21" x14ac:dyDescent="0.3">
      <c r="B44" s="194">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29" t="s">
        <v>613</v>
      </c>
      <c r="BU2" s="329" t="s">
        <v>614</v>
      </c>
      <c r="BV2" s="329" t="s">
        <v>624</v>
      </c>
      <c r="BW2" s="329" t="s">
        <v>615</v>
      </c>
      <c r="BX2" s="329" t="s">
        <v>616</v>
      </c>
      <c r="BY2" s="329" t="s">
        <v>617</v>
      </c>
      <c r="BZ2" s="329" t="s">
        <v>618</v>
      </c>
      <c r="CA2" s="329" t="s">
        <v>619</v>
      </c>
      <c r="CB2" s="329" t="s">
        <v>620</v>
      </c>
      <c r="CC2" s="329" t="s">
        <v>621</v>
      </c>
      <c r="CD2" s="329" t="s">
        <v>622</v>
      </c>
      <c r="CE2" s="329" t="s">
        <v>623</v>
      </c>
      <c r="CI2" s="83"/>
      <c r="CJ2" s="83"/>
      <c r="CK2" s="83"/>
      <c r="CL2" s="83"/>
      <c r="CM2" s="83"/>
      <c r="CN2" s="83"/>
      <c r="CO2" s="83"/>
    </row>
    <row r="3" spans="1:93" ht="18" x14ac:dyDescent="0.3">
      <c r="A3" s="83"/>
      <c r="B3" s="104"/>
      <c r="C3" s="929" t="s">
        <v>270</v>
      </c>
      <c r="D3" s="930"/>
      <c r="E3" s="930"/>
      <c r="F3" s="930"/>
      <c r="G3" s="930"/>
      <c r="H3" s="1064" t="s">
        <v>229</v>
      </c>
      <c r="I3" s="1064"/>
      <c r="J3" s="105"/>
      <c r="K3" s="929" t="s">
        <v>268</v>
      </c>
      <c r="L3" s="930"/>
      <c r="M3" s="930"/>
      <c r="N3" s="930"/>
      <c r="O3" s="930"/>
      <c r="P3" s="930"/>
      <c r="Q3" s="930"/>
      <c r="R3" s="930"/>
      <c r="S3" s="931"/>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674</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079"/>
      <c r="L4" s="1079"/>
      <c r="M4" s="1079"/>
      <c r="N4" s="1079"/>
      <c r="O4" s="1079"/>
      <c r="P4" s="1079"/>
      <c r="Q4" s="1079"/>
      <c r="R4" s="1079"/>
      <c r="S4" s="1079"/>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080" t="s">
        <v>706</v>
      </c>
      <c r="E5" s="1081"/>
      <c r="F5" s="105"/>
      <c r="G5" s="105"/>
      <c r="H5" s="1080" t="s">
        <v>267</v>
      </c>
      <c r="I5" s="1081"/>
      <c r="J5" s="105"/>
      <c r="K5" s="1082" t="s">
        <v>721</v>
      </c>
      <c r="L5" s="1083"/>
      <c r="M5" s="1083"/>
      <c r="N5" s="1083"/>
      <c r="O5" s="1083"/>
      <c r="P5" s="1083"/>
      <c r="Q5" s="1083"/>
      <c r="R5" s="1083"/>
      <c r="S5" s="1084"/>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954" t="s">
        <v>496</v>
      </c>
      <c r="D6" s="640" t="s">
        <v>720</v>
      </c>
      <c r="E6" s="651" t="s">
        <v>705</v>
      </c>
      <c r="F6" s="105"/>
      <c r="G6" s="105"/>
      <c r="H6" s="85"/>
      <c r="I6" s="114" t="s">
        <v>262</v>
      </c>
      <c r="J6" s="105"/>
      <c r="K6" s="1085"/>
      <c r="L6" s="1086"/>
      <c r="M6" s="1086"/>
      <c r="N6" s="1086"/>
      <c r="O6" s="1086"/>
      <c r="P6" s="1086"/>
      <c r="Q6" s="1086"/>
      <c r="R6" s="1086"/>
      <c r="S6" s="1087"/>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955"/>
      <c r="D7" s="91"/>
      <c r="E7" s="648"/>
      <c r="F7" s="105"/>
      <c r="G7" s="105"/>
      <c r="H7" s="96"/>
      <c r="I7" s="114" t="s">
        <v>263</v>
      </c>
      <c r="J7" s="105"/>
      <c r="K7" s="1085"/>
      <c r="L7" s="1086"/>
      <c r="M7" s="1086"/>
      <c r="N7" s="1086"/>
      <c r="O7" s="1086"/>
      <c r="P7" s="1086"/>
      <c r="Q7" s="1086"/>
      <c r="R7" s="1086"/>
      <c r="S7" s="1087"/>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935"/>
      <c r="D8" s="647"/>
      <c r="E8" s="648"/>
      <c r="F8" s="105"/>
      <c r="G8" s="105"/>
      <c r="H8" s="95"/>
      <c r="I8" s="115" t="s">
        <v>264</v>
      </c>
      <c r="J8" s="105"/>
      <c r="K8" s="1085"/>
      <c r="L8" s="1086"/>
      <c r="M8" s="1086"/>
      <c r="N8" s="1086"/>
      <c r="O8" s="1086"/>
      <c r="P8" s="1086"/>
      <c r="Q8" s="1086"/>
      <c r="R8" s="1086"/>
      <c r="S8" s="1087"/>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067" t="s">
        <v>673</v>
      </c>
      <c r="CI8" s="1068"/>
      <c r="CJ8" s="1068"/>
      <c r="CK8" s="1068"/>
      <c r="CL8" s="1068"/>
      <c r="CM8" s="1069"/>
      <c r="CN8" s="83"/>
      <c r="CO8" s="83"/>
    </row>
    <row r="9" spans="1:93" ht="15.6" x14ac:dyDescent="0.3">
      <c r="A9" s="83"/>
      <c r="B9" s="104"/>
      <c r="C9" s="936"/>
      <c r="D9" s="649"/>
      <c r="E9" s="650"/>
      <c r="F9" s="105"/>
      <c r="G9" s="105"/>
      <c r="H9" s="110"/>
      <c r="I9" s="111" t="s">
        <v>268</v>
      </c>
      <c r="J9" s="105"/>
      <c r="K9" s="1088"/>
      <c r="L9" s="1089"/>
      <c r="M9" s="1089"/>
      <c r="N9" s="1089"/>
      <c r="O9" s="1089"/>
      <c r="P9" s="1089"/>
      <c r="Q9" s="1089"/>
      <c r="R9" s="1089"/>
      <c r="S9" s="1090"/>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070"/>
      <c r="CI9" s="1071"/>
      <c r="CJ9" s="1071"/>
      <c r="CK9" s="1071"/>
      <c r="CL9" s="1071"/>
      <c r="CM9" s="1072"/>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929" t="s">
        <v>511</v>
      </c>
      <c r="E11" s="930"/>
      <c r="F11" s="930"/>
      <c r="G11" s="930"/>
      <c r="H11" s="930"/>
      <c r="I11" s="930"/>
      <c r="J11" s="930"/>
      <c r="K11" s="930"/>
      <c r="L11" s="931"/>
      <c r="M11" s="929" t="s">
        <v>512</v>
      </c>
      <c r="N11" s="930"/>
      <c r="O11" s="930"/>
      <c r="P11" s="930"/>
      <c r="Q11" s="931"/>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298" t="s">
        <v>229</v>
      </c>
      <c r="E12" s="298" t="s">
        <v>348</v>
      </c>
      <c r="F12" s="262" t="s">
        <v>234</v>
      </c>
      <c r="G12" s="262" t="s">
        <v>476</v>
      </c>
      <c r="H12" s="264" t="s">
        <v>235</v>
      </c>
      <c r="I12" s="298"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299"/>
      <c r="D13" s="267" t="s">
        <v>513</v>
      </c>
      <c r="E13" s="267" t="s">
        <v>7</v>
      </c>
      <c r="F13" s="292">
        <v>1</v>
      </c>
      <c r="G13" s="292" t="s">
        <v>354</v>
      </c>
      <c r="H13" s="292" t="s">
        <v>472</v>
      </c>
      <c r="I13" s="292" t="s">
        <v>354</v>
      </c>
      <c r="J13" s="292" t="str">
        <f>+IF(F13&gt;'Equipment Data'!$G$4,"yes","No")</f>
        <v>No</v>
      </c>
      <c r="K13" s="292">
        <v>0.67</v>
      </c>
      <c r="L13" s="292"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2" t="s">
        <v>354</v>
      </c>
      <c r="O13" s="292" t="s">
        <v>354</v>
      </c>
      <c r="P13" s="166">
        <f>+'Equipment Data'!$H$4</f>
        <v>1.1200000000000001</v>
      </c>
      <c r="Q13" s="167">
        <f>+M13*P13</f>
        <v>115695.91434724194</v>
      </c>
      <c r="R13" s="303"/>
      <c r="S13" s="304"/>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0"/>
      <c r="D14" s="267" t="s">
        <v>513</v>
      </c>
      <c r="E14" s="267" t="s">
        <v>8</v>
      </c>
      <c r="F14" s="292">
        <v>1</v>
      </c>
      <c r="G14" s="292" t="s">
        <v>354</v>
      </c>
      <c r="H14" s="292" t="s">
        <v>472</v>
      </c>
      <c r="I14" s="292" t="s">
        <v>354</v>
      </c>
      <c r="J14" s="292" t="str">
        <f>+IF(F14&gt;'Equipment Data'!$G$5,"yes","No")</f>
        <v>No</v>
      </c>
      <c r="K14" s="292">
        <v>0.67</v>
      </c>
      <c r="L14" s="292"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2" t="s">
        <v>354</v>
      </c>
      <c r="O14" s="292" t="s">
        <v>354</v>
      </c>
      <c r="P14" s="166">
        <f>+'Equipment Data'!$H$5</f>
        <v>1.1200000000000001</v>
      </c>
      <c r="Q14" s="167">
        <f t="shared" ref="Q14:Q34" si="0">+M14*P14</f>
        <v>15339.740849225012</v>
      </c>
      <c r="R14" s="305"/>
      <c r="S14" s="306"/>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1"/>
      <c r="D15" s="267" t="s">
        <v>513</v>
      </c>
      <c r="E15" s="267" t="s">
        <v>514</v>
      </c>
      <c r="F15" s="292">
        <v>1</v>
      </c>
      <c r="G15" s="292" t="s">
        <v>354</v>
      </c>
      <c r="H15" s="292" t="s">
        <v>472</v>
      </c>
      <c r="I15" s="292" t="s">
        <v>354</v>
      </c>
      <c r="J15" s="292" t="str">
        <f>+IF(F15&gt;'Equipment Data'!$G$6,"yes","No")</f>
        <v>No</v>
      </c>
      <c r="K15" s="292">
        <v>0.67</v>
      </c>
      <c r="L15" s="292"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2" t="s">
        <v>354</v>
      </c>
      <c r="O15" s="165" t="s">
        <v>354</v>
      </c>
      <c r="P15" s="166">
        <f>+'Equipment Data'!$H$6</f>
        <v>1.1200000000000001</v>
      </c>
      <c r="Q15" s="167">
        <f t="shared" si="0"/>
        <v>15339.740849225012</v>
      </c>
      <c r="R15" s="307"/>
      <c r="S15" s="308"/>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515</v>
      </c>
      <c r="E16" s="267" t="s">
        <v>516</v>
      </c>
      <c r="F16" s="292">
        <v>1</v>
      </c>
      <c r="G16" s="292" t="s">
        <v>354</v>
      </c>
      <c r="H16" s="292" t="s">
        <v>353</v>
      </c>
      <c r="I16" s="292" t="s">
        <v>354</v>
      </c>
      <c r="J16" s="292" t="str">
        <f>+IF(F16&gt;'Equipment Data'!$G$11,"yes","No")</f>
        <v>No</v>
      </c>
      <c r="K16" s="292">
        <v>0.67</v>
      </c>
      <c r="L16" s="292"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2" t="s">
        <v>354</v>
      </c>
      <c r="O16" s="295" t="s">
        <v>354</v>
      </c>
      <c r="P16" s="166">
        <f>+'Equipment Data'!$H$11</f>
        <v>1.57</v>
      </c>
      <c r="Q16" s="167">
        <f t="shared" si="0"/>
        <v>92044.883506491591</v>
      </c>
      <c r="R16" s="296"/>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515</v>
      </c>
      <c r="E17" s="267" t="s">
        <v>517</v>
      </c>
      <c r="F17" s="292">
        <v>1</v>
      </c>
      <c r="G17" s="292" t="s">
        <v>354</v>
      </c>
      <c r="H17" s="292" t="s">
        <v>353</v>
      </c>
      <c r="I17" s="292" t="s">
        <v>354</v>
      </c>
      <c r="J17" s="292" t="str">
        <f>+IF(F17&gt;'Equipment Data'!$G$12,"yes","No")</f>
        <v>No</v>
      </c>
      <c r="K17" s="292">
        <v>0.67</v>
      </c>
      <c r="L17" s="292"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2" t="s">
        <v>354</v>
      </c>
      <c r="O17" s="295" t="s">
        <v>354</v>
      </c>
      <c r="P17" s="166">
        <f>+'Equipment Data'!$H$12</f>
        <v>1.57</v>
      </c>
      <c r="Q17" s="167">
        <f t="shared" si="0"/>
        <v>36066.139022386218</v>
      </c>
      <c r="R17" s="293"/>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515</v>
      </c>
      <c r="E18" s="267" t="s">
        <v>15</v>
      </c>
      <c r="F18" s="292">
        <v>1</v>
      </c>
      <c r="G18" s="292" t="s">
        <v>354</v>
      </c>
      <c r="H18" s="292" t="s">
        <v>353</v>
      </c>
      <c r="I18" s="292" t="s">
        <v>354</v>
      </c>
      <c r="J18" s="292" t="str">
        <f>+IF(F18&gt;'Equipment Data'!$G$13,"yes","No")</f>
        <v>No</v>
      </c>
      <c r="K18" s="292">
        <v>0.67</v>
      </c>
      <c r="L18" s="292"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2" t="s">
        <v>354</v>
      </c>
      <c r="O18" s="165" t="s">
        <v>354</v>
      </c>
      <c r="P18" s="166">
        <f>+'Equipment Data'!$H$13</f>
        <v>1.57</v>
      </c>
      <c r="Q18" s="167">
        <f t="shared" si="0"/>
        <v>113736.44573177362</v>
      </c>
      <c r="R18" s="293"/>
      <c r="S18" s="217"/>
      <c r="T18" s="106"/>
      <c r="U18" s="104"/>
      <c r="V18" s="105"/>
      <c r="W18" s="83" t="s">
        <v>255</v>
      </c>
      <c r="X18" s="83"/>
      <c r="AW18" s="1"/>
      <c r="CI18" s="83"/>
      <c r="CJ18" s="83"/>
      <c r="CK18" s="83"/>
      <c r="CL18" s="83"/>
      <c r="CM18" s="83"/>
      <c r="CN18" s="83"/>
      <c r="CO18" s="83"/>
    </row>
    <row r="19" spans="1:93" x14ac:dyDescent="0.3">
      <c r="A19" s="83"/>
      <c r="B19" s="104"/>
      <c r="C19" s="216"/>
      <c r="D19" s="267" t="s">
        <v>515</v>
      </c>
      <c r="E19" s="267" t="s">
        <v>16</v>
      </c>
      <c r="F19" s="292">
        <v>1</v>
      </c>
      <c r="G19" s="292" t="s">
        <v>354</v>
      </c>
      <c r="H19" s="292" t="s">
        <v>353</v>
      </c>
      <c r="I19" s="292" t="s">
        <v>354</v>
      </c>
      <c r="J19" s="292" t="str">
        <f>+IF(F19&gt;'Equipment Data'!$G$14,"yes","No")</f>
        <v>No</v>
      </c>
      <c r="K19" s="292">
        <v>0.67</v>
      </c>
      <c r="L19" s="292"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2" t="s">
        <v>354</v>
      </c>
      <c r="O19" s="165" t="s">
        <v>354</v>
      </c>
      <c r="P19" s="166">
        <f>+'Equipment Data'!$H$14</f>
        <v>1.27</v>
      </c>
      <c r="Q19" s="167">
        <f t="shared" si="0"/>
        <v>118441.45148013598</v>
      </c>
      <c r="R19" s="294"/>
      <c r="S19" s="225"/>
      <c r="T19" s="106"/>
      <c r="U19" s="104"/>
      <c r="V19" s="105"/>
      <c r="W19" s="83" t="s">
        <v>256</v>
      </c>
      <c r="X19" s="83"/>
      <c r="AW19" s="1"/>
      <c r="CI19" s="83"/>
      <c r="CJ19" s="83"/>
      <c r="CK19" s="83"/>
      <c r="CL19" s="83"/>
      <c r="CM19" s="83"/>
      <c r="CN19" s="83"/>
      <c r="CO19" s="83"/>
    </row>
    <row r="20" spans="1:93" x14ac:dyDescent="0.3">
      <c r="A20" s="83"/>
      <c r="B20" s="104"/>
      <c r="C20" s="299"/>
      <c r="D20" s="267" t="s">
        <v>261</v>
      </c>
      <c r="E20" s="267" t="s">
        <v>23</v>
      </c>
      <c r="F20" s="292">
        <v>1</v>
      </c>
      <c r="G20" s="292" t="s">
        <v>354</v>
      </c>
      <c r="H20" s="292" t="s">
        <v>474</v>
      </c>
      <c r="I20" s="292" t="s">
        <v>85</v>
      </c>
      <c r="J20" s="292" t="str">
        <f>+IF(F20&gt;'Equipment Data'!$J$19,"yes","No")</f>
        <v>No</v>
      </c>
      <c r="K20" s="292">
        <v>0.67</v>
      </c>
      <c r="L20" s="292"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2" t="s">
        <v>354</v>
      </c>
      <c r="O20" s="295" t="s">
        <v>354</v>
      </c>
      <c r="P20" s="166">
        <f>+IF(I20="CS",'Equipment Data'!$F$19,IF(I20="SS",'Equipment Data'!$G$19,IF(I20="Ni",'Equipment Data'!$H$19,"N/A")))</f>
        <v>2.74</v>
      </c>
      <c r="Q20" s="167">
        <f t="shared" si="0"/>
        <v>533.15141088122277</v>
      </c>
      <c r="R20" s="303"/>
      <c r="S20" s="309"/>
      <c r="T20" s="106"/>
      <c r="U20" s="104"/>
      <c r="V20" s="105"/>
      <c r="W20" s="83" t="s">
        <v>257</v>
      </c>
      <c r="X20" s="83"/>
      <c r="AW20" s="1"/>
      <c r="CI20" s="83"/>
      <c r="CJ20" s="83"/>
      <c r="CK20" s="83"/>
      <c r="CL20" s="83"/>
      <c r="CM20" s="83"/>
      <c r="CN20" s="83"/>
      <c r="CO20" s="83"/>
    </row>
    <row r="21" spans="1:93" x14ac:dyDescent="0.3">
      <c r="A21" s="83"/>
      <c r="B21" s="104"/>
      <c r="C21" s="300"/>
      <c r="D21" s="233" t="s">
        <v>261</v>
      </c>
      <c r="E21" s="267" t="s">
        <v>24</v>
      </c>
      <c r="F21" s="292">
        <v>1</v>
      </c>
      <c r="G21" s="292" t="s">
        <v>354</v>
      </c>
      <c r="H21" s="292" t="s">
        <v>474</v>
      </c>
      <c r="I21" s="292" t="s">
        <v>85</v>
      </c>
      <c r="J21" s="292" t="str">
        <f>+IF(F21&gt;'Equipment Data'!$J$20,"yes","No")</f>
        <v>No</v>
      </c>
      <c r="K21" s="292">
        <v>0.67</v>
      </c>
      <c r="L21" s="292"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2" t="s">
        <v>354</v>
      </c>
      <c r="O21" s="292" t="s">
        <v>354</v>
      </c>
      <c r="P21" s="166">
        <f>+IF(I21="CS",'Equipment Data'!$F$20,IF(I21="SS",'Equipment Data'!$G$20,IF(I21="Ni",'Equipment Data'!$H$20,"N/A")))</f>
        <v>3.83</v>
      </c>
      <c r="Q21" s="167">
        <f t="shared" si="0"/>
        <v>745.24449039236606</v>
      </c>
      <c r="R21" s="305"/>
      <c r="S21" s="310"/>
      <c r="T21" s="106"/>
      <c r="U21" s="105"/>
      <c r="V21" s="105"/>
      <c r="W21" s="83" t="s">
        <v>148</v>
      </c>
      <c r="X21" s="83"/>
      <c r="AW21" s="1"/>
      <c r="CI21" s="83"/>
      <c r="CJ21" s="83"/>
      <c r="CK21" s="83"/>
      <c r="CL21" s="83"/>
      <c r="CM21" s="83"/>
      <c r="CN21" s="83"/>
      <c r="CO21" s="83"/>
    </row>
    <row r="22" spans="1:93" x14ac:dyDescent="0.3">
      <c r="A22" s="83"/>
      <c r="B22" s="104"/>
      <c r="C22" s="300"/>
      <c r="D22" s="267" t="s">
        <v>261</v>
      </c>
      <c r="E22" s="267" t="s">
        <v>514</v>
      </c>
      <c r="F22" s="292">
        <v>1</v>
      </c>
      <c r="G22" s="292" t="s">
        <v>354</v>
      </c>
      <c r="H22" s="292" t="s">
        <v>474</v>
      </c>
      <c r="I22" s="292" t="s">
        <v>85</v>
      </c>
      <c r="J22" s="292" t="str">
        <f>+IF(F22&gt;'Equipment Data'!$J$21,"yes","No")</f>
        <v>No</v>
      </c>
      <c r="K22" s="292">
        <v>0.67</v>
      </c>
      <c r="L22" s="292"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2" t="s">
        <v>354</v>
      </c>
      <c r="O22" s="292" t="s">
        <v>354</v>
      </c>
      <c r="P22" s="166">
        <f>+IF(I22="CS",'Equipment Data'!$F$21,IF(I22="SS",'Equipment Data'!$G$21,IF(I22="Ni",'Equipment Data'!$H$21,"N/A")))</f>
        <v>2.41</v>
      </c>
      <c r="Q22" s="167">
        <f t="shared" si="0"/>
        <v>261527.30746150017</v>
      </c>
      <c r="R22" s="305"/>
      <c r="S22" s="310"/>
      <c r="T22" s="106"/>
      <c r="U22" s="105"/>
      <c r="V22" s="105"/>
      <c r="W22" s="83" t="s">
        <v>259</v>
      </c>
      <c r="X22" s="83"/>
      <c r="AW22" s="1"/>
      <c r="CI22" s="83"/>
      <c r="CJ22" s="83"/>
      <c r="CK22" s="83"/>
      <c r="CL22" s="83"/>
      <c r="CM22" s="83"/>
      <c r="CN22" s="83"/>
      <c r="CO22" s="83"/>
    </row>
    <row r="23" spans="1:93" x14ac:dyDescent="0.3">
      <c r="A23" s="83"/>
      <c r="B23" s="104"/>
      <c r="C23" s="300"/>
      <c r="D23" s="267" t="s">
        <v>261</v>
      </c>
      <c r="E23" s="267" t="s">
        <v>25</v>
      </c>
      <c r="F23" s="292">
        <v>1</v>
      </c>
      <c r="G23" s="292" t="s">
        <v>354</v>
      </c>
      <c r="H23" s="292" t="s">
        <v>474</v>
      </c>
      <c r="I23" s="292" t="s">
        <v>85</v>
      </c>
      <c r="J23" s="292" t="str">
        <f>+IF(F23&gt;'Equipment Data'!$J$22,"yes","No")</f>
        <v>No</v>
      </c>
      <c r="K23" s="292">
        <v>0.67</v>
      </c>
      <c r="L23" s="292"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2" t="s">
        <v>354</v>
      </c>
      <c r="O23" s="292" t="s">
        <v>354</v>
      </c>
      <c r="P23" s="166">
        <f>+IF(I23="CS",'Equipment Data'!$F$22,IF(I23="SS",'Equipment Data'!$G$22,IF(I23="Ni",'Equipment Data'!$H$22,"N/A")))</f>
        <v>3.37</v>
      </c>
      <c r="Q23" s="167">
        <f t="shared" si="0"/>
        <v>655.7373192225258</v>
      </c>
      <c r="R23" s="305"/>
      <c r="S23" s="310"/>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2">
        <v>1</v>
      </c>
      <c r="G24" s="292" t="s">
        <v>354</v>
      </c>
      <c r="H24" s="292" t="s">
        <v>352</v>
      </c>
      <c r="I24" s="292" t="s">
        <v>354</v>
      </c>
      <c r="J24" s="292" t="str">
        <f>+IF(F24&gt;'Equipment Data'!$G$27,"yes","No")</f>
        <v>No</v>
      </c>
      <c r="K24" s="292">
        <v>0.67</v>
      </c>
      <c r="L24" s="292"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2" t="s">
        <v>354</v>
      </c>
      <c r="O24" s="292" t="s">
        <v>354</v>
      </c>
      <c r="P24" s="166">
        <f>+'Equipment Data'!$H$27</f>
        <v>2</v>
      </c>
      <c r="Q24" s="167">
        <f t="shared" si="0"/>
        <v>16847.287828768036</v>
      </c>
      <c r="R24" s="296"/>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2">
        <v>1</v>
      </c>
      <c r="G25" s="292" t="s">
        <v>354</v>
      </c>
      <c r="H25" s="292" t="s">
        <v>352</v>
      </c>
      <c r="I25" s="292" t="s">
        <v>354</v>
      </c>
      <c r="J25" s="292" t="str">
        <f>+IF(F25&gt;'Equipment Data'!$G$28,"yes","No")</f>
        <v>No</v>
      </c>
      <c r="K25" s="292">
        <v>0.67</v>
      </c>
      <c r="L25" s="292"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2" t="s">
        <v>354</v>
      </c>
      <c r="O25" s="292" t="s">
        <v>354</v>
      </c>
      <c r="P25" s="166">
        <f>+'Equipment Data'!$H$28</f>
        <v>1.25</v>
      </c>
      <c r="Q25" s="167">
        <f t="shared" si="0"/>
        <v>14474.714718986765</v>
      </c>
      <c r="R25" s="293"/>
      <c r="S25" s="168"/>
      <c r="T25" s="106"/>
      <c r="U25" s="105"/>
      <c r="V25" s="105"/>
      <c r="W25" s="83" t="s">
        <v>536</v>
      </c>
      <c r="X25" s="83"/>
      <c r="AT25" s="105"/>
      <c r="CI25" s="83"/>
      <c r="CJ25" s="83"/>
      <c r="CK25" s="83"/>
      <c r="CL25" s="83"/>
      <c r="CM25" s="83"/>
      <c r="CN25" s="83"/>
      <c r="CO25" s="83"/>
    </row>
    <row r="26" spans="1:93" x14ac:dyDescent="0.3">
      <c r="A26" s="83"/>
      <c r="B26" s="104"/>
      <c r="C26" s="216"/>
      <c r="D26" s="267" t="s">
        <v>243</v>
      </c>
      <c r="E26" s="267" t="s">
        <v>31</v>
      </c>
      <c r="F26" s="292">
        <v>1</v>
      </c>
      <c r="G26" s="292" t="s">
        <v>354</v>
      </c>
      <c r="H26" s="292" t="s">
        <v>352</v>
      </c>
      <c r="I26" s="292" t="s">
        <v>354</v>
      </c>
      <c r="J26" s="292" t="str">
        <f>+IF(F26&gt;'Equipment Data'!$G$29,"yes","No")</f>
        <v>No</v>
      </c>
      <c r="K26" s="292">
        <v>0.67</v>
      </c>
      <c r="L26" s="292"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2" t="s">
        <v>354</v>
      </c>
      <c r="O26" s="292" t="s">
        <v>354</v>
      </c>
      <c r="P26" s="166">
        <f>+'Equipment Data'!$H$29</f>
        <v>1.25</v>
      </c>
      <c r="Q26" s="167">
        <f t="shared" si="0"/>
        <v>57346.908818392025</v>
      </c>
      <c r="R26" s="293"/>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2">
        <v>1</v>
      </c>
      <c r="G27" s="292" t="s">
        <v>354</v>
      </c>
      <c r="H27" s="292" t="s">
        <v>352</v>
      </c>
      <c r="I27" s="292" t="s">
        <v>354</v>
      </c>
      <c r="J27" s="292" t="str">
        <f>+IF(F27&gt;'Equipment Data'!$G$30,"yes","No")</f>
        <v>No</v>
      </c>
      <c r="K27" s="292">
        <v>0.67</v>
      </c>
      <c r="L27" s="292"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2" t="s">
        <v>354</v>
      </c>
      <c r="O27" s="292" t="s">
        <v>354</v>
      </c>
      <c r="P27" s="166">
        <f>+'Equipment Data'!$H$30</f>
        <v>1.1000000000000001</v>
      </c>
      <c r="Q27" s="167">
        <f t="shared" si="0"/>
        <v>4442.1445348373682</v>
      </c>
      <c r="R27" s="294"/>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2"/>
      <c r="D28" s="267" t="s">
        <v>518</v>
      </c>
      <c r="E28" s="267" t="s">
        <v>34</v>
      </c>
      <c r="F28" s="292">
        <v>1</v>
      </c>
      <c r="G28" s="292" t="s">
        <v>354</v>
      </c>
      <c r="H28" s="292" t="s">
        <v>472</v>
      </c>
      <c r="I28" s="292" t="s">
        <v>354</v>
      </c>
      <c r="J28" s="292" t="str">
        <f>+IF(F28&gt;'Equipment Data'!$G$35,"yes","No")</f>
        <v>No</v>
      </c>
      <c r="K28" s="292">
        <v>0.67</v>
      </c>
      <c r="L28" s="292"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2" t="s">
        <v>354</v>
      </c>
      <c r="O28" s="292" t="s">
        <v>354</v>
      </c>
      <c r="P28" s="166">
        <f>+'Equipment Data'!$H$35</f>
        <v>1.6</v>
      </c>
      <c r="Q28" s="167">
        <f t="shared" si="0"/>
        <v>51739.232565982551</v>
      </c>
      <c r="R28" s="311"/>
      <c r="S28" s="312"/>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519</v>
      </c>
      <c r="E29" s="267" t="s">
        <v>36</v>
      </c>
      <c r="F29" s="292">
        <v>1</v>
      </c>
      <c r="G29" s="292" t="s">
        <v>354</v>
      </c>
      <c r="H29" s="292" t="s">
        <v>474</v>
      </c>
      <c r="I29" s="292" t="s">
        <v>354</v>
      </c>
      <c r="J29" s="292" t="str">
        <f>+IF(F29&gt;'Equipment Data'!$H$40,"yes","No")</f>
        <v>No</v>
      </c>
      <c r="K29" s="292">
        <v>0.67</v>
      </c>
      <c r="L29" s="292"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2" t="s">
        <v>354</v>
      </c>
      <c r="O29" s="292" t="s">
        <v>354</v>
      </c>
      <c r="P29" s="166">
        <f>+'Equipment Data'!$F$40</f>
        <v>1.5</v>
      </c>
      <c r="Q29" s="167">
        <f t="shared" si="0"/>
        <v>433.00335269224132</v>
      </c>
      <c r="R29" s="296"/>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519</v>
      </c>
      <c r="E30" s="267" t="s">
        <v>37</v>
      </c>
      <c r="F30" s="292">
        <v>1</v>
      </c>
      <c r="G30" s="292" t="s">
        <v>354</v>
      </c>
      <c r="H30" s="292" t="s">
        <v>474</v>
      </c>
      <c r="I30" s="292" t="s">
        <v>354</v>
      </c>
      <c r="J30" s="292" t="str">
        <f>+IF(F30&gt;'Equipment Data'!$H$41,"yes","No")</f>
        <v>No</v>
      </c>
      <c r="K30" s="292">
        <v>0.67</v>
      </c>
      <c r="L30" s="292"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2" t="s">
        <v>354</v>
      </c>
      <c r="O30" s="292" t="s">
        <v>354</v>
      </c>
      <c r="P30" s="166">
        <f>+'Equipment Data'!$F$41</f>
        <v>1.5</v>
      </c>
      <c r="Q30" s="167">
        <f t="shared" si="0"/>
        <v>135.54742105834532</v>
      </c>
      <c r="R30" s="293"/>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519</v>
      </c>
      <c r="E31" s="267" t="s">
        <v>38</v>
      </c>
      <c r="F31" s="292">
        <v>1</v>
      </c>
      <c r="G31" s="292" t="s">
        <v>354</v>
      </c>
      <c r="H31" s="292" t="s">
        <v>474</v>
      </c>
      <c r="I31" s="292" t="s">
        <v>354</v>
      </c>
      <c r="J31" s="292" t="str">
        <f>+IF(F31&gt;'Equipment Data'!$H$42,"yes","No")</f>
        <v>No</v>
      </c>
      <c r="K31" s="292">
        <v>0.67</v>
      </c>
      <c r="L31" s="292"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2" t="s">
        <v>354</v>
      </c>
      <c r="O31" s="292" t="s">
        <v>354</v>
      </c>
      <c r="P31" s="166">
        <f>+'Equipment Data'!$F$42</f>
        <v>1.5</v>
      </c>
      <c r="Q31" s="167">
        <f t="shared" si="0"/>
        <v>1339.3412940974749</v>
      </c>
      <c r="R31" s="293"/>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519</v>
      </c>
      <c r="E32" s="267" t="s">
        <v>40</v>
      </c>
      <c r="F32" s="292">
        <v>1</v>
      </c>
      <c r="G32" s="292" t="s">
        <v>354</v>
      </c>
      <c r="H32" s="292" t="s">
        <v>474</v>
      </c>
      <c r="I32" s="292" t="s">
        <v>354</v>
      </c>
      <c r="J32" s="292" t="str">
        <f>+IF(F32&gt;'Equipment Data'!$H$43,"yes","No")</f>
        <v>yes</v>
      </c>
      <c r="K32" s="292">
        <v>0.67</v>
      </c>
      <c r="L32" s="292"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2" t="s">
        <v>354</v>
      </c>
      <c r="O32" s="292" t="s">
        <v>354</v>
      </c>
      <c r="P32" s="166">
        <f>+'Equipment Data'!$F$45</f>
        <v>3.5</v>
      </c>
      <c r="Q32" s="167">
        <f t="shared" si="0"/>
        <v>5.9411161684304908E-22</v>
      </c>
      <c r="R32" s="293"/>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519</v>
      </c>
      <c r="E33" s="267" t="s">
        <v>41</v>
      </c>
      <c r="F33" s="292">
        <v>1</v>
      </c>
      <c r="G33" s="292" t="s">
        <v>354</v>
      </c>
      <c r="H33" s="292" t="s">
        <v>474</v>
      </c>
      <c r="I33" s="292" t="s">
        <v>354</v>
      </c>
      <c r="J33" s="292" t="str">
        <f>+IF(F33&gt;'Equipment Data'!$H$44,"yes","No")</f>
        <v>No</v>
      </c>
      <c r="K33" s="292">
        <v>0.67</v>
      </c>
      <c r="L33" s="292"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2" t="s">
        <v>354</v>
      </c>
      <c r="O33" s="292" t="s">
        <v>354</v>
      </c>
      <c r="P33" s="166">
        <f>+'Equipment Data'!$F$46</f>
        <v>3.5</v>
      </c>
      <c r="Q33" s="167">
        <f t="shared" si="0"/>
        <v>1478.9995584854855</v>
      </c>
      <c r="R33" s="293"/>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519</v>
      </c>
      <c r="E34" s="267" t="s">
        <v>42</v>
      </c>
      <c r="F34" s="292">
        <v>1</v>
      </c>
      <c r="G34" s="292" t="s">
        <v>354</v>
      </c>
      <c r="H34" s="292" t="s">
        <v>474</v>
      </c>
      <c r="I34" s="292" t="s">
        <v>354</v>
      </c>
      <c r="J34" s="292" t="str">
        <f>+IF(F34&gt;'Equipment Data'!$H$45,"yes","No")</f>
        <v>No</v>
      </c>
      <c r="K34" s="292">
        <v>0.67</v>
      </c>
      <c r="L34" s="292"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2" t="s">
        <v>354</v>
      </c>
      <c r="O34" s="292" t="s">
        <v>354</v>
      </c>
      <c r="P34" s="166">
        <f>+'Equipment Data'!$F$47</f>
        <v>2</v>
      </c>
      <c r="Q34" s="167">
        <f t="shared" si="0"/>
        <v>1160.192345045409</v>
      </c>
      <c r="R34" s="294"/>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299"/>
      <c r="D35" s="267" t="s">
        <v>246</v>
      </c>
      <c r="E35" s="267" t="s">
        <v>44</v>
      </c>
      <c r="F35" s="292">
        <v>1</v>
      </c>
      <c r="G35" s="292" t="s">
        <v>354</v>
      </c>
      <c r="H35" s="292" t="s">
        <v>352</v>
      </c>
      <c r="I35" s="292" t="s">
        <v>354</v>
      </c>
      <c r="J35" s="292" t="str">
        <f>+IF(F35&gt;'Equipment Data'!$G$2,"yes","No")</f>
        <v>yes</v>
      </c>
      <c r="K35" s="292">
        <v>0.67</v>
      </c>
      <c r="L35" s="292"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2" t="s">
        <v>354</v>
      </c>
      <c r="O35" s="292" t="s">
        <v>354</v>
      </c>
      <c r="P35" s="166">
        <f>+'Equipment Data'!$H$52</f>
        <v>1.6</v>
      </c>
      <c r="Q35" s="167">
        <f>+M35*P35</f>
        <v>56405.30899134183</v>
      </c>
      <c r="R35" s="303"/>
      <c r="S35" s="309"/>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0"/>
      <c r="D36" s="267" t="s">
        <v>246</v>
      </c>
      <c r="E36" s="267" t="s">
        <v>520</v>
      </c>
      <c r="F36" s="292">
        <v>1</v>
      </c>
      <c r="G36" s="292" t="s">
        <v>354</v>
      </c>
      <c r="H36" s="292" t="s">
        <v>352</v>
      </c>
      <c r="I36" s="292" t="s">
        <v>354</v>
      </c>
      <c r="J36" s="292" t="str">
        <f>+IF(F36&gt;'Equipment Data'!$G$3,"yes","No")</f>
        <v>No</v>
      </c>
      <c r="K36" s="292">
        <v>0.67</v>
      </c>
      <c r="L36" s="292"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2" t="s">
        <v>354</v>
      </c>
      <c r="O36" s="292" t="s">
        <v>354</v>
      </c>
      <c r="P36" s="166">
        <f>+'Equipment Data'!$H$53</f>
        <v>1.25</v>
      </c>
      <c r="Q36" s="167">
        <f t="shared" ref="Q36:Q37" si="1">+M36*P36</f>
        <v>4585.7461805167804</v>
      </c>
      <c r="R36" s="305"/>
      <c r="S36" s="310"/>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0"/>
      <c r="D37" s="267" t="s">
        <v>246</v>
      </c>
      <c r="E37" s="267" t="s">
        <v>46</v>
      </c>
      <c r="F37" s="292">
        <v>1</v>
      </c>
      <c r="G37" s="292" t="s">
        <v>354</v>
      </c>
      <c r="H37" s="292" t="s">
        <v>352</v>
      </c>
      <c r="I37" s="292" t="s">
        <v>354</v>
      </c>
      <c r="J37" s="292" t="str">
        <f>+IF(F37&gt;'Equipment Data'!$G$4,"yes","No")</f>
        <v>No</v>
      </c>
      <c r="K37" s="292">
        <v>0.67</v>
      </c>
      <c r="L37" s="292"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2" t="s">
        <v>354</v>
      </c>
      <c r="O37" s="292" t="s">
        <v>354</v>
      </c>
      <c r="P37" s="166">
        <f>+'Equipment Data'!$H$54</f>
        <v>1.25</v>
      </c>
      <c r="Q37" s="167">
        <f t="shared" si="1"/>
        <v>6194.5535695287181</v>
      </c>
      <c r="R37" s="305"/>
      <c r="S37" s="310"/>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522</v>
      </c>
      <c r="E38" s="267" t="s">
        <v>50</v>
      </c>
      <c r="F38" s="292">
        <v>1</v>
      </c>
      <c r="G38" s="292" t="s">
        <v>354</v>
      </c>
      <c r="H38" s="292" t="s">
        <v>351</v>
      </c>
      <c r="I38" s="292" t="s">
        <v>354</v>
      </c>
      <c r="J38" s="292" t="str">
        <f>+IF(F38&gt;'Equipment Data'!$G$59,"yes","No")</f>
        <v>No</v>
      </c>
      <c r="K38" s="292">
        <v>0.67</v>
      </c>
      <c r="L38" s="292"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2" t="s">
        <v>354</v>
      </c>
      <c r="O38" s="292"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522</v>
      </c>
      <c r="E39" s="267" t="s">
        <v>521</v>
      </c>
      <c r="F39" s="292">
        <v>1</v>
      </c>
      <c r="G39" s="639" t="s">
        <v>354</v>
      </c>
      <c r="H39" s="292" t="s">
        <v>351</v>
      </c>
      <c r="I39" s="639" t="s">
        <v>354</v>
      </c>
      <c r="J39" s="292" t="str">
        <f>+IF(F39&gt;'Equipment Data'!$G$60,"yes","No")</f>
        <v>No</v>
      </c>
      <c r="K39" s="292">
        <v>0.67</v>
      </c>
      <c r="L39" s="292"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2" t="s">
        <v>354</v>
      </c>
      <c r="O39" s="292"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522</v>
      </c>
      <c r="E40" s="233" t="s">
        <v>55</v>
      </c>
      <c r="F40" s="292">
        <v>1</v>
      </c>
      <c r="G40" s="292" t="s">
        <v>354</v>
      </c>
      <c r="H40" s="292" t="s">
        <v>351</v>
      </c>
      <c r="I40" s="292" t="s">
        <v>354</v>
      </c>
      <c r="J40" s="292" t="str">
        <f>+IF(F40&gt;'Equipment Data'!$G$64,"yes","No")</f>
        <v>No</v>
      </c>
      <c r="K40" s="292">
        <v>0.67</v>
      </c>
      <c r="L40" s="292"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2" t="s">
        <v>354</v>
      </c>
      <c r="O40" s="292"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522</v>
      </c>
      <c r="E41" s="233" t="s">
        <v>56</v>
      </c>
      <c r="F41" s="292">
        <v>1</v>
      </c>
      <c r="G41" s="292" t="s">
        <v>354</v>
      </c>
      <c r="H41" s="292" t="s">
        <v>351</v>
      </c>
      <c r="I41" s="292" t="s">
        <v>354</v>
      </c>
      <c r="J41" s="292" t="str">
        <f>+IF(F41&gt;'Equipment Data'!$G$65,"yes","No")</f>
        <v>No</v>
      </c>
      <c r="K41" s="292">
        <v>0.67</v>
      </c>
      <c r="L41" s="292"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2" t="s">
        <v>354</v>
      </c>
      <c r="O41" s="292"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299"/>
      <c r="D42" s="267" t="s">
        <v>248</v>
      </c>
      <c r="E42" s="267" t="s">
        <v>66</v>
      </c>
      <c r="F42" s="292">
        <v>1</v>
      </c>
      <c r="G42" s="292">
        <v>1</v>
      </c>
      <c r="H42" s="292" t="s">
        <v>474</v>
      </c>
      <c r="I42" s="292" t="s">
        <v>85</v>
      </c>
      <c r="J42" s="292" t="str">
        <f>+IF(F42&gt;'Equipment Data'!$O$70,"yes","No")</f>
        <v>No</v>
      </c>
      <c r="K42" s="292">
        <v>0.67</v>
      </c>
      <c r="L42" s="292"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2" t="s">
        <v>354</v>
      </c>
      <c r="P42" s="166">
        <f>+IF(I42="CS",'Equipment Data'!$F$70,IF(I42="SS",'Equipment Data'!$H$70,IF(I42="Ni",'Equipment Data'!$I$70,IF(I42="fiberglass",'Equipment Data'!$G$70,"N/A"))))</f>
        <v>2.74</v>
      </c>
      <c r="Q42" s="167">
        <f>+M42*N42*P42</f>
        <v>9480.9217640328061</v>
      </c>
      <c r="R42" s="303"/>
      <c r="S42" s="309"/>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0"/>
      <c r="D43" s="267" t="s">
        <v>248</v>
      </c>
      <c r="E43" s="267" t="s">
        <v>67</v>
      </c>
      <c r="F43" s="292">
        <v>1</v>
      </c>
      <c r="G43" s="292">
        <v>1</v>
      </c>
      <c r="H43" s="292" t="s">
        <v>474</v>
      </c>
      <c r="I43" s="292" t="s">
        <v>85</v>
      </c>
      <c r="J43" s="292" t="str">
        <f>+IF(F43&gt;'Equipment Data'!$O$71,"yes","No")</f>
        <v>No</v>
      </c>
      <c r="K43" s="292">
        <v>0.67</v>
      </c>
      <c r="L43" s="292"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2" t="s">
        <v>354</v>
      </c>
      <c r="P43" s="166">
        <f>+IF(I43="CS",'Equipment Data'!$F$71,IF(I43="SS",'Equipment Data'!$H$71,IF(I43="Ni",'Equipment Data'!$I$71,IF(I43="fiberglass",'Equipment Data'!$G$71,"N/A"))))</f>
        <v>2.74</v>
      </c>
      <c r="Q43" s="167">
        <f t="shared" ref="Q43:Q45" si="3">+M43*N43*P43</f>
        <v>6093.2719665874984</v>
      </c>
      <c r="R43" s="305"/>
      <c r="S43" s="310"/>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0"/>
      <c r="D44" s="267" t="s">
        <v>248</v>
      </c>
      <c r="E44" s="267" t="s">
        <v>68</v>
      </c>
      <c r="F44" s="292">
        <v>1</v>
      </c>
      <c r="G44" s="292">
        <v>1</v>
      </c>
      <c r="H44" s="292" t="s">
        <v>474</v>
      </c>
      <c r="I44" s="292" t="s">
        <v>85</v>
      </c>
      <c r="J44" s="292" t="str">
        <f>+IF(F44&gt;'Equipment Data'!$O$72,"yes","No")</f>
        <v>No</v>
      </c>
      <c r="K44" s="292">
        <v>0.67</v>
      </c>
      <c r="L44" s="292"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2" t="s">
        <v>354</v>
      </c>
      <c r="P44" s="166">
        <f>+IF(I44="CS",'Equipment Data'!$F$72,IF(I44="SS",'Equipment Data'!$H$72,IF(I44="Ni",'Equipment Data'!$I$72,IF(I44="fiberglass",'Equipment Data'!$G$72,"N/A"))))</f>
        <v>2.74</v>
      </c>
      <c r="Q44" s="167">
        <f t="shared" si="3"/>
        <v>3014.0507653670466</v>
      </c>
      <c r="R44" s="305"/>
      <c r="S44" s="310"/>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1"/>
      <c r="D45" s="267" t="s">
        <v>248</v>
      </c>
      <c r="E45" s="267" t="s">
        <v>69</v>
      </c>
      <c r="F45" s="292">
        <v>1</v>
      </c>
      <c r="G45" s="292">
        <v>1</v>
      </c>
      <c r="H45" s="292" t="s">
        <v>474</v>
      </c>
      <c r="I45" s="292" t="s">
        <v>85</v>
      </c>
      <c r="J45" s="292" t="str">
        <f>+IF(F45&gt;'Equipment Data'!$O$73,"yes","No")</f>
        <v>No</v>
      </c>
      <c r="K45" s="292">
        <v>0.67</v>
      </c>
      <c r="L45" s="292"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2" t="s">
        <v>354</v>
      </c>
      <c r="P45" s="166">
        <f>+IF(I45="CS",'Equipment Data'!$F$73,IF(I45="SS",'Equipment Data'!$H$73,IF(I45="Ni",'Equipment Data'!$I$73,IF(I45="fiberglass",'Equipment Data'!$G$73,"N/A"))))</f>
        <v>2.74</v>
      </c>
      <c r="Q45" s="167">
        <f t="shared" si="3"/>
        <v>4110.0827218492996</v>
      </c>
      <c r="R45" s="305"/>
      <c r="S45" s="310"/>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523</v>
      </c>
      <c r="E46" s="267" t="s">
        <v>71</v>
      </c>
      <c r="F46" s="292">
        <v>1</v>
      </c>
      <c r="G46" s="292" t="s">
        <v>354</v>
      </c>
      <c r="H46" s="292" t="s">
        <v>352</v>
      </c>
      <c r="I46" s="292" t="s">
        <v>354</v>
      </c>
      <c r="J46" s="292" t="str">
        <f>+IF(F46&gt;'Equipment Data'!$G$78,"yes","No")</f>
        <v>No</v>
      </c>
      <c r="K46" s="292">
        <v>0.67</v>
      </c>
      <c r="L46" s="292"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2" t="s">
        <v>354</v>
      </c>
      <c r="O46" s="292" t="s">
        <v>354</v>
      </c>
      <c r="P46" s="166">
        <f>+'Equipment Data'!$H$78</f>
        <v>1.65</v>
      </c>
      <c r="Q46" s="167">
        <f>+M46*P46</f>
        <v>210370.06649071307</v>
      </c>
      <c r="R46" s="296"/>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523</v>
      </c>
      <c r="E47" s="267" t="s">
        <v>72</v>
      </c>
      <c r="F47" s="292">
        <v>1</v>
      </c>
      <c r="G47" s="292" t="s">
        <v>354</v>
      </c>
      <c r="H47" s="292" t="s">
        <v>352</v>
      </c>
      <c r="I47" s="292" t="s">
        <v>354</v>
      </c>
      <c r="J47" s="292" t="str">
        <f>+IF(F47&gt;'Equipment Data'!$G$79,"yes","No")</f>
        <v>No</v>
      </c>
      <c r="K47" s="292">
        <v>0.67</v>
      </c>
      <c r="L47" s="292"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2" t="s">
        <v>354</v>
      </c>
      <c r="O47" s="292" t="s">
        <v>354</v>
      </c>
      <c r="P47" s="166">
        <f>+'Equipment Data'!$H$79</f>
        <v>1.65</v>
      </c>
      <c r="Q47" s="167">
        <f t="shared" ref="Q47:Q54" si="4">+M47*P47</f>
        <v>2680.3033194193504</v>
      </c>
      <c r="R47" s="293"/>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523</v>
      </c>
      <c r="E48" s="267" t="s">
        <v>73</v>
      </c>
      <c r="F48" s="292">
        <v>1</v>
      </c>
      <c r="G48" s="292" t="s">
        <v>354</v>
      </c>
      <c r="H48" s="292" t="s">
        <v>352</v>
      </c>
      <c r="I48" s="292" t="s">
        <v>354</v>
      </c>
      <c r="J48" s="292" t="str">
        <f>+IF(F48&gt;'Equipment Data'!$G$80,"yes","No")</f>
        <v>No</v>
      </c>
      <c r="K48" s="292">
        <v>0.67</v>
      </c>
      <c r="L48" s="292"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2" t="s">
        <v>354</v>
      </c>
      <c r="O48" s="292" t="s">
        <v>354</v>
      </c>
      <c r="P48" s="166">
        <f>+'Equipment Data'!$H$80</f>
        <v>1.65</v>
      </c>
      <c r="Q48" s="167">
        <f t="shared" si="4"/>
        <v>107098.63710675374</v>
      </c>
      <c r="R48" s="293"/>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523</v>
      </c>
      <c r="E49" s="267" t="s">
        <v>74</v>
      </c>
      <c r="F49" s="292">
        <v>1</v>
      </c>
      <c r="G49" s="292" t="s">
        <v>354</v>
      </c>
      <c r="H49" s="292" t="s">
        <v>352</v>
      </c>
      <c r="I49" s="292" t="s">
        <v>354</v>
      </c>
      <c r="J49" s="292" t="str">
        <f>+IF(F49&gt;'Equipment Data'!$G$81,"yes","No")</f>
        <v>No</v>
      </c>
      <c r="K49" s="292">
        <v>0.67</v>
      </c>
      <c r="L49" s="292"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2" t="s">
        <v>354</v>
      </c>
      <c r="O49" s="292" t="s">
        <v>354</v>
      </c>
      <c r="P49" s="166">
        <f>+'Equipment Data'!$H$81</f>
        <v>1.65</v>
      </c>
      <c r="Q49" s="167">
        <f t="shared" si="4"/>
        <v>31123.178548292599</v>
      </c>
      <c r="R49" s="293"/>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523</v>
      </c>
      <c r="E50" s="267" t="s">
        <v>75</v>
      </c>
      <c r="F50" s="292">
        <v>1</v>
      </c>
      <c r="G50" s="292" t="s">
        <v>354</v>
      </c>
      <c r="H50" s="292" t="s">
        <v>352</v>
      </c>
      <c r="I50" s="292" t="s">
        <v>354</v>
      </c>
      <c r="J50" s="292" t="str">
        <f>+IF(F50&gt;'Equipment Data'!$G$82,"yes","No")</f>
        <v>No</v>
      </c>
      <c r="K50" s="292">
        <v>0.67</v>
      </c>
      <c r="L50" s="292"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2" t="s">
        <v>354</v>
      </c>
      <c r="O50" s="292" t="s">
        <v>354</v>
      </c>
      <c r="P50" s="166">
        <f>+'Equipment Data'!$H$82</f>
        <v>1.65</v>
      </c>
      <c r="Q50" s="167">
        <f t="shared" si="4"/>
        <v>10868.858736151833</v>
      </c>
      <c r="R50" s="293"/>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523</v>
      </c>
      <c r="E51" s="267" t="s">
        <v>76</v>
      </c>
      <c r="F51" s="292">
        <v>1</v>
      </c>
      <c r="G51" s="292" t="s">
        <v>354</v>
      </c>
      <c r="H51" s="292" t="s">
        <v>352</v>
      </c>
      <c r="I51" s="292" t="s">
        <v>354</v>
      </c>
      <c r="J51" s="292" t="str">
        <f>+IF(F51&gt;'Equipment Data'!$G$83,"yes","No")</f>
        <v>No</v>
      </c>
      <c r="K51" s="292">
        <v>0.67</v>
      </c>
      <c r="L51" s="292"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2" t="s">
        <v>354</v>
      </c>
      <c r="O51" s="292" t="s">
        <v>354</v>
      </c>
      <c r="P51" s="166">
        <f>+'Equipment Data'!$H$83</f>
        <v>1.65</v>
      </c>
      <c r="Q51" s="167">
        <f t="shared" si="4"/>
        <v>107098.63710675374</v>
      </c>
      <c r="R51" s="293"/>
      <c r="S51" s="168"/>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523</v>
      </c>
      <c r="E52" s="267" t="s">
        <v>77</v>
      </c>
      <c r="F52" s="292">
        <v>1</v>
      </c>
      <c r="G52" s="292" t="s">
        <v>354</v>
      </c>
      <c r="H52" s="292" t="s">
        <v>352</v>
      </c>
      <c r="I52" s="292" t="s">
        <v>354</v>
      </c>
      <c r="J52" s="292" t="str">
        <f>+IF(F52&gt;'Equipment Data'!$G$84,"yes","No")</f>
        <v>No</v>
      </c>
      <c r="K52" s="292">
        <v>0.67</v>
      </c>
      <c r="L52" s="292"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2" t="s">
        <v>354</v>
      </c>
      <c r="O52" s="292" t="s">
        <v>354</v>
      </c>
      <c r="P52" s="166">
        <f>+'Equipment Data'!$H$84</f>
        <v>1.8</v>
      </c>
      <c r="Q52" s="167">
        <f t="shared" si="4"/>
        <v>33952.558416319203</v>
      </c>
      <c r="R52" s="293"/>
      <c r="S52" s="168"/>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523</v>
      </c>
      <c r="E53" s="267" t="s">
        <v>78</v>
      </c>
      <c r="F53" s="292">
        <v>1</v>
      </c>
      <c r="G53" s="292" t="s">
        <v>354</v>
      </c>
      <c r="H53" s="292" t="s">
        <v>352</v>
      </c>
      <c r="I53" s="292" t="s">
        <v>354</v>
      </c>
      <c r="J53" s="292" t="str">
        <f>+IF(F53&gt;'Equipment Data'!$G$85,"yes","No")</f>
        <v>No</v>
      </c>
      <c r="K53" s="292">
        <v>0.67</v>
      </c>
      <c r="L53" s="292"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2" t="s">
        <v>354</v>
      </c>
      <c r="O53" s="292" t="s">
        <v>354</v>
      </c>
      <c r="P53" s="166">
        <f>+'Equipment Data'!$H$85</f>
        <v>1.65</v>
      </c>
      <c r="Q53" s="167">
        <f t="shared" si="4"/>
        <v>210370.06649071307</v>
      </c>
      <c r="R53" s="293"/>
      <c r="S53" s="168"/>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523</v>
      </c>
      <c r="E54" s="267" t="s">
        <v>79</v>
      </c>
      <c r="F54" s="292">
        <v>1</v>
      </c>
      <c r="G54" s="292" t="s">
        <v>354</v>
      </c>
      <c r="H54" s="292" t="s">
        <v>352</v>
      </c>
      <c r="I54" s="292" t="s">
        <v>354</v>
      </c>
      <c r="J54" s="292" t="str">
        <f>+IF(F54&gt;'Equipment Data'!$G$86,"yes","No")</f>
        <v>No</v>
      </c>
      <c r="K54" s="292">
        <v>0.67</v>
      </c>
      <c r="L54" s="292"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2" t="s">
        <v>354</v>
      </c>
      <c r="O54" s="292" t="s">
        <v>354</v>
      </c>
      <c r="P54" s="166">
        <f>+'Equipment Data'!$H$86</f>
        <v>1.54</v>
      </c>
      <c r="Q54" s="167">
        <f t="shared" si="4"/>
        <v>196345.39539133222</v>
      </c>
      <c r="R54" s="294"/>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299"/>
      <c r="D55" s="267" t="s">
        <v>524</v>
      </c>
      <c r="E55" s="267" t="s">
        <v>88</v>
      </c>
      <c r="F55" s="292">
        <v>1</v>
      </c>
      <c r="G55" s="292">
        <v>1</v>
      </c>
      <c r="H55" s="292" t="s">
        <v>474</v>
      </c>
      <c r="I55" s="292" t="s">
        <v>85</v>
      </c>
      <c r="J55" s="292" t="str">
        <f>+IF(F55&gt;'Equipment Data'!$G$92,"yes","No")</f>
        <v>No</v>
      </c>
      <c r="K55" s="292">
        <v>0.67</v>
      </c>
      <c r="L55" s="292"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7"/>
      <c r="P55" s="166">
        <f>+IF(I55="CS",'Equipment Data'!$L$92,IF(I55="Alloy Steel",'Equipment Data'!$M$92,IF(I55="SS",'Equipment Data'!$N$92,"N/A")))</f>
        <v>2.13</v>
      </c>
      <c r="Q55" s="167">
        <f>+M55*N55*P55</f>
        <v>2491.0337028723284</v>
      </c>
      <c r="R55" s="303"/>
      <c r="S55" s="309"/>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0"/>
      <c r="D56" s="267" t="s">
        <v>524</v>
      </c>
      <c r="E56" s="267" t="s">
        <v>525</v>
      </c>
      <c r="F56" s="292">
        <v>1</v>
      </c>
      <c r="G56" s="292">
        <v>1</v>
      </c>
      <c r="H56" s="292" t="s">
        <v>474</v>
      </c>
      <c r="I56" s="292" t="s">
        <v>85</v>
      </c>
      <c r="J56" s="292" t="str">
        <f>+IF(F56&gt;'Equipment Data'!$G$93,"yes","No")</f>
        <v>No</v>
      </c>
      <c r="K56" s="292">
        <v>0.67</v>
      </c>
      <c r="L56" s="292"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5"/>
      <c r="S56" s="310"/>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0"/>
      <c r="D57" s="267" t="s">
        <v>524</v>
      </c>
      <c r="E57" s="267" t="s">
        <v>91</v>
      </c>
      <c r="F57" s="292">
        <v>1</v>
      </c>
      <c r="G57" s="292">
        <v>1</v>
      </c>
      <c r="H57" s="292" t="s">
        <v>474</v>
      </c>
      <c r="I57" s="292" t="s">
        <v>85</v>
      </c>
      <c r="J57" s="292" t="str">
        <f>+IF(F57&gt;'Equipment Data'!$G$94,"yes","No")</f>
        <v>yes</v>
      </c>
      <c r="K57" s="292">
        <v>0.67</v>
      </c>
      <c r="L57" s="292"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5"/>
      <c r="S57" s="310"/>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0"/>
      <c r="D58" s="267" t="s">
        <v>524</v>
      </c>
      <c r="E58" s="267" t="s">
        <v>98</v>
      </c>
      <c r="F58" s="292">
        <v>1</v>
      </c>
      <c r="G58" s="292">
        <v>1</v>
      </c>
      <c r="H58" s="292" t="s">
        <v>474</v>
      </c>
      <c r="I58" s="292" t="s">
        <v>354</v>
      </c>
      <c r="J58" s="292" t="str">
        <f>+IF(F58&gt;'Equipment Data'!$G$95,"yes","No")</f>
        <v>yes</v>
      </c>
      <c r="K58" s="292">
        <v>0.67</v>
      </c>
      <c r="L58" s="292"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5"/>
      <c r="S58" s="310"/>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0"/>
      <c r="D59" s="267" t="s">
        <v>524</v>
      </c>
      <c r="E59" s="267" t="s">
        <v>99</v>
      </c>
      <c r="F59" s="292">
        <v>1</v>
      </c>
      <c r="G59" s="292">
        <v>1</v>
      </c>
      <c r="H59" s="292" t="s">
        <v>474</v>
      </c>
      <c r="I59" s="292" t="s">
        <v>354</v>
      </c>
      <c r="J59" s="292" t="str">
        <f>+IF(F59&gt;'Equipment Data'!$G$96,"yes","No")</f>
        <v>No</v>
      </c>
      <c r="K59" s="292">
        <v>0.67</v>
      </c>
      <c r="L59" s="292"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5"/>
      <c r="S59" s="310"/>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0"/>
      <c r="D60" s="267" t="s">
        <v>524</v>
      </c>
      <c r="E60" s="267" t="s">
        <v>100</v>
      </c>
      <c r="F60" s="292">
        <v>1</v>
      </c>
      <c r="G60" s="292">
        <v>1</v>
      </c>
      <c r="H60" s="292" t="s">
        <v>474</v>
      </c>
      <c r="I60" s="292" t="s">
        <v>354</v>
      </c>
      <c r="J60" s="292" t="str">
        <f>+IF(F60&gt;'Equipment Data'!$G$97,"yes","No")</f>
        <v>No</v>
      </c>
      <c r="K60" s="292">
        <v>0.67</v>
      </c>
      <c r="L60" s="292"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5"/>
      <c r="S60" s="310"/>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0"/>
      <c r="D61" s="267" t="s">
        <v>524</v>
      </c>
      <c r="E61" s="267" t="s">
        <v>101</v>
      </c>
      <c r="F61" s="292">
        <v>1</v>
      </c>
      <c r="G61" s="292">
        <v>1</v>
      </c>
      <c r="H61" s="292" t="s">
        <v>474</v>
      </c>
      <c r="I61" s="292" t="s">
        <v>354</v>
      </c>
      <c r="J61" s="292" t="str">
        <f>+IF(F61&gt;'Equipment Data'!$G$98,"yes","No")</f>
        <v>yes</v>
      </c>
      <c r="K61" s="292">
        <v>0.67</v>
      </c>
      <c r="L61" s="292">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5"/>
      <c r="S61" s="310"/>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473</v>
      </c>
      <c r="E62" s="267" t="s">
        <v>105</v>
      </c>
      <c r="F62" s="292">
        <v>1</v>
      </c>
      <c r="G62" s="292">
        <v>1</v>
      </c>
      <c r="H62" s="292" t="s">
        <v>352</v>
      </c>
      <c r="I62" s="292" t="s">
        <v>85</v>
      </c>
      <c r="J62" s="292" t="str">
        <f>+IF(F62&gt;'Equipment Data'!$G$111,"yes","No")</f>
        <v>No</v>
      </c>
      <c r="K62" s="292">
        <v>0.67</v>
      </c>
      <c r="L62" s="292"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6"/>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473</v>
      </c>
      <c r="E63" s="267" t="s">
        <v>106</v>
      </c>
      <c r="F63" s="292">
        <v>1</v>
      </c>
      <c r="G63" s="292">
        <v>1</v>
      </c>
      <c r="H63" s="292" t="s">
        <v>352</v>
      </c>
      <c r="I63" s="292" t="s">
        <v>85</v>
      </c>
      <c r="J63" s="292" t="str">
        <f>+IF(F63&gt;'Equipment Data'!$G$112,"yes","No")</f>
        <v>No</v>
      </c>
      <c r="K63" s="292">
        <v>0.67</v>
      </c>
      <c r="L63" s="292"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3"/>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473</v>
      </c>
      <c r="E64" s="267" t="s">
        <v>107</v>
      </c>
      <c r="F64" s="292">
        <v>1</v>
      </c>
      <c r="G64" s="292">
        <v>1</v>
      </c>
      <c r="H64" s="292" t="s">
        <v>352</v>
      </c>
      <c r="I64" s="292" t="s">
        <v>85</v>
      </c>
      <c r="J64" s="292" t="str">
        <f>+IF(F64&gt;'Equipment Data'!$G$113,"yes","No")</f>
        <v>No</v>
      </c>
      <c r="K64" s="292">
        <v>0.67</v>
      </c>
      <c r="L64" s="292"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3"/>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473</v>
      </c>
      <c r="E65" s="267" t="s">
        <v>108</v>
      </c>
      <c r="F65" s="292">
        <v>1</v>
      </c>
      <c r="G65" s="292">
        <v>1</v>
      </c>
      <c r="H65" s="292" t="s">
        <v>352</v>
      </c>
      <c r="I65" s="292" t="s">
        <v>85</v>
      </c>
      <c r="J65" s="292" t="str">
        <f>+IF(F65&gt;'Equipment Data'!$G$114,"yes","No")</f>
        <v>No</v>
      </c>
      <c r="K65" s="292">
        <v>0.67</v>
      </c>
      <c r="L65" s="292"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3"/>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473</v>
      </c>
      <c r="E66" s="267" t="s">
        <v>109</v>
      </c>
      <c r="F66" s="292">
        <v>1</v>
      </c>
      <c r="G66" s="292">
        <v>1</v>
      </c>
      <c r="H66" s="292" t="s">
        <v>352</v>
      </c>
      <c r="I66" s="292" t="s">
        <v>85</v>
      </c>
      <c r="J66" s="292" t="str">
        <f>+IF(F66&gt;'Equipment Data'!$G$115,"yes","No")</f>
        <v>No</v>
      </c>
      <c r="K66" s="292">
        <v>0.67</v>
      </c>
      <c r="L66" s="292"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4"/>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299"/>
      <c r="D67" s="267" t="s">
        <v>252</v>
      </c>
      <c r="E67" s="267" t="s">
        <v>113</v>
      </c>
      <c r="F67" s="292">
        <v>1</v>
      </c>
      <c r="G67" s="292">
        <v>1</v>
      </c>
      <c r="H67" s="292" t="s">
        <v>352</v>
      </c>
      <c r="I67" s="292" t="s">
        <v>531</v>
      </c>
      <c r="J67" s="292" t="str">
        <f>+IF(F67&gt;'Equipment Data'!$L$120,"yes","No")</f>
        <v>No</v>
      </c>
      <c r="K67" s="292">
        <v>0.67</v>
      </c>
      <c r="L67" s="292"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2">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3"/>
      <c r="S67" s="309"/>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0"/>
      <c r="D68" s="267" t="s">
        <v>252</v>
      </c>
      <c r="E68" s="267" t="s">
        <v>116</v>
      </c>
      <c r="F68" s="292">
        <v>1</v>
      </c>
      <c r="G68" s="292">
        <v>1</v>
      </c>
      <c r="H68" s="292" t="s">
        <v>352</v>
      </c>
      <c r="I68" s="292" t="s">
        <v>531</v>
      </c>
      <c r="J68" s="292" t="str">
        <f>+IF(F68&gt;'Equipment Data'!$L$123,"yes","No")</f>
        <v>No</v>
      </c>
      <c r="K68" s="292">
        <v>0.67</v>
      </c>
      <c r="L68" s="292"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2">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5"/>
      <c r="S68" s="310"/>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0"/>
      <c r="D69" s="267" t="s">
        <v>252</v>
      </c>
      <c r="E69" s="267" t="s">
        <v>117</v>
      </c>
      <c r="F69" s="292">
        <v>1</v>
      </c>
      <c r="G69" s="292">
        <v>1</v>
      </c>
      <c r="H69" s="292" t="s">
        <v>352</v>
      </c>
      <c r="I69" s="292" t="s">
        <v>531</v>
      </c>
      <c r="J69" s="292" t="str">
        <f>+IF(F69&gt;'Equipment Data'!$L$126,"yes","No")</f>
        <v>No</v>
      </c>
      <c r="K69" s="292">
        <v>0.67</v>
      </c>
      <c r="L69" s="292"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2">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5"/>
      <c r="S69" s="310"/>
      <c r="T69" s="106"/>
      <c r="U69" s="105"/>
      <c r="V69" s="105"/>
      <c r="W69" s="83"/>
      <c r="X69" s="1"/>
      <c r="CI69" s="83"/>
      <c r="CJ69" s="83"/>
      <c r="CK69" s="83"/>
      <c r="CL69" s="83"/>
      <c r="CM69" s="83"/>
      <c r="CN69" s="83"/>
      <c r="CO69" s="83"/>
    </row>
    <row r="70" spans="1:93" x14ac:dyDescent="0.3">
      <c r="A70" s="83"/>
      <c r="B70" s="104"/>
      <c r="C70" s="300"/>
      <c r="D70" s="267" t="s">
        <v>252</v>
      </c>
      <c r="E70" s="267" t="s">
        <v>119</v>
      </c>
      <c r="F70" s="292">
        <v>1</v>
      </c>
      <c r="G70" s="292">
        <v>1</v>
      </c>
      <c r="H70" s="292" t="s">
        <v>352</v>
      </c>
      <c r="I70" s="292" t="s">
        <v>531</v>
      </c>
      <c r="J70" s="292" t="str">
        <f>+IF(F70&gt;'Equipment Data'!$L$128,"yes","No")</f>
        <v>No</v>
      </c>
      <c r="K70" s="292">
        <v>0.67</v>
      </c>
      <c r="L70" s="292"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2">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5"/>
      <c r="S70" s="310"/>
      <c r="T70" s="106"/>
      <c r="U70" s="105"/>
      <c r="V70" s="105"/>
      <c r="W70" s="83"/>
      <c r="X70" s="1"/>
      <c r="CI70" s="83"/>
      <c r="CJ70" s="83"/>
      <c r="CK70" s="83"/>
      <c r="CL70" s="83"/>
      <c r="CM70" s="83"/>
      <c r="CN70" s="83"/>
      <c r="CO70" s="83"/>
    </row>
    <row r="71" spans="1:93" x14ac:dyDescent="0.3">
      <c r="A71" s="83"/>
      <c r="B71" s="104"/>
      <c r="C71" s="300"/>
      <c r="D71" s="267" t="s">
        <v>252</v>
      </c>
      <c r="E71" s="267" t="s">
        <v>121</v>
      </c>
      <c r="F71" s="292">
        <v>1</v>
      </c>
      <c r="G71" s="292">
        <v>1</v>
      </c>
      <c r="H71" s="292" t="s">
        <v>352</v>
      </c>
      <c r="I71" s="292" t="s">
        <v>531</v>
      </c>
      <c r="J71" s="292" t="str">
        <f>+IF(F71&gt;'Equipment Data'!$L$130,"yes","No")</f>
        <v>No</v>
      </c>
      <c r="K71" s="292">
        <v>0.67</v>
      </c>
      <c r="L71" s="292"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2">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5"/>
      <c r="S71" s="310"/>
      <c r="T71" s="106"/>
      <c r="U71" s="105"/>
      <c r="V71" s="105"/>
      <c r="W71" s="83"/>
      <c r="X71" s="1"/>
      <c r="CI71" s="83"/>
      <c r="CJ71" s="83"/>
      <c r="CK71" s="83"/>
      <c r="CL71" s="83"/>
      <c r="CM71" s="83"/>
      <c r="CN71" s="83"/>
      <c r="CO71" s="83"/>
    </row>
    <row r="72" spans="1:93" x14ac:dyDescent="0.3">
      <c r="A72" s="83"/>
      <c r="B72" s="104"/>
      <c r="C72" s="300"/>
      <c r="D72" s="267" t="s">
        <v>252</v>
      </c>
      <c r="E72" s="267" t="s">
        <v>122</v>
      </c>
      <c r="F72" s="292">
        <v>1</v>
      </c>
      <c r="G72" s="292">
        <v>1</v>
      </c>
      <c r="H72" s="292" t="s">
        <v>352</v>
      </c>
      <c r="I72" s="292" t="s">
        <v>531</v>
      </c>
      <c r="J72" s="292" t="str">
        <f>+IF(F72&gt;'Equipment Data'!$L$132,"yes","No")</f>
        <v>No</v>
      </c>
      <c r="K72" s="292">
        <v>0.67</v>
      </c>
      <c r="L72" s="292"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2">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5"/>
      <c r="S72" s="310"/>
      <c r="T72" s="106"/>
      <c r="U72" s="105"/>
      <c r="V72" s="105"/>
      <c r="W72" s="83"/>
      <c r="X72" s="1"/>
      <c r="CI72" s="83"/>
      <c r="CJ72" s="83"/>
      <c r="CK72" s="83"/>
      <c r="CL72" s="83"/>
      <c r="CM72" s="83"/>
      <c r="CN72" s="83"/>
      <c r="CO72" s="83"/>
    </row>
    <row r="73" spans="1:93" x14ac:dyDescent="0.3">
      <c r="A73" s="83"/>
      <c r="B73" s="104"/>
      <c r="C73" s="300"/>
      <c r="D73" s="267" t="s">
        <v>252</v>
      </c>
      <c r="E73" s="267" t="s">
        <v>123</v>
      </c>
      <c r="F73" s="292">
        <v>1</v>
      </c>
      <c r="G73" s="292">
        <v>1</v>
      </c>
      <c r="H73" s="292" t="s">
        <v>352</v>
      </c>
      <c r="I73" s="292" t="s">
        <v>531</v>
      </c>
      <c r="J73" s="292" t="str">
        <f>+IF(F73&gt;'Equipment Data'!$L$134,"yes","No")</f>
        <v>No</v>
      </c>
      <c r="K73" s="292">
        <v>0.67</v>
      </c>
      <c r="L73" s="292"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2">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5"/>
      <c r="S73" s="310"/>
      <c r="T73" s="106"/>
      <c r="U73" s="105"/>
      <c r="V73" s="105"/>
      <c r="W73" s="83"/>
      <c r="X73" s="1"/>
      <c r="CI73" s="83"/>
      <c r="CJ73" s="83"/>
      <c r="CK73" s="83"/>
      <c r="CL73" s="83"/>
      <c r="CM73" s="83"/>
      <c r="CN73" s="83"/>
      <c r="CO73" s="83"/>
    </row>
    <row r="74" spans="1:93" x14ac:dyDescent="0.3">
      <c r="A74" s="83"/>
      <c r="B74" s="104"/>
      <c r="C74" s="300"/>
      <c r="D74" s="267" t="s">
        <v>252</v>
      </c>
      <c r="E74" s="267" t="s">
        <v>124</v>
      </c>
      <c r="F74" s="292">
        <v>1</v>
      </c>
      <c r="G74" s="292">
        <v>1</v>
      </c>
      <c r="H74" s="292" t="s">
        <v>352</v>
      </c>
      <c r="I74" s="292" t="s">
        <v>85</v>
      </c>
      <c r="J74" s="292" t="str">
        <f>+IF(F74&gt;'Equipment Data'!$L$137,"yes","No")</f>
        <v>No</v>
      </c>
      <c r="K74" s="292">
        <v>0.67</v>
      </c>
      <c r="L74" s="292"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2">
        <f>+IF(I74="CS",'Equipment Data'!$C$158,IF(I74="Cu",'Equipment Data'!$D$158,IF(I74="SS",'Equipment Data'!$E$158,IF(I74="Ni",'Equipment Data'!$F$158,IF(I74="Ti",'Equipment Data'!$G$158,"N/A")))))</f>
        <v>1</v>
      </c>
      <c r="P74" s="166">
        <f>+'Equipment Data'!$I$137+'Equipment Data'!$J$137*N74*O74</f>
        <v>3.29</v>
      </c>
      <c r="Q74" s="167">
        <f t="shared" si="7"/>
        <v>21056.970948365411</v>
      </c>
      <c r="R74" s="305"/>
      <c r="S74" s="310"/>
      <c r="T74" s="106"/>
      <c r="U74" s="105"/>
      <c r="V74" s="105"/>
      <c r="W74" s="83"/>
      <c r="X74" s="1"/>
      <c r="CI74" s="83"/>
      <c r="CJ74" s="83"/>
      <c r="CK74" s="83"/>
      <c r="CL74" s="83"/>
      <c r="CM74" s="83"/>
      <c r="CN74" s="83"/>
      <c r="CO74" s="83"/>
    </row>
    <row r="75" spans="1:93" x14ac:dyDescent="0.3">
      <c r="A75" s="83"/>
      <c r="B75" s="104"/>
      <c r="C75" s="300"/>
      <c r="D75" s="267" t="s">
        <v>252</v>
      </c>
      <c r="E75" s="267" t="s">
        <v>125</v>
      </c>
      <c r="F75" s="292">
        <v>1</v>
      </c>
      <c r="G75" s="292">
        <v>1</v>
      </c>
      <c r="H75" s="292" t="s">
        <v>352</v>
      </c>
      <c r="I75" s="292" t="s">
        <v>85</v>
      </c>
      <c r="J75" s="292" t="str">
        <f>+IF(F75&gt;'Equipment Data'!$L$138,"yes","No")</f>
        <v>No</v>
      </c>
      <c r="K75" s="292">
        <v>0.67</v>
      </c>
      <c r="L75" s="292"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2">
        <f>+IF(I75="CS",'Equipment Data'!$C$167,IF(I75="Al",'Equipment Data'!$D$167,IF(I75="SS",'Equipment Data'!$E$167,"N/A")))</f>
        <v>1</v>
      </c>
      <c r="P75" s="166">
        <f>+'Equipment Data'!$I$128+'Equipment Data'!$J$128*N75*O75</f>
        <v>3.29</v>
      </c>
      <c r="Q75" s="167">
        <f t="shared" si="7"/>
        <v>35546.422451013517</v>
      </c>
      <c r="R75" s="305"/>
      <c r="S75" s="310"/>
      <c r="T75" s="106"/>
      <c r="U75" s="105"/>
      <c r="V75" s="105"/>
      <c r="W75" s="83"/>
      <c r="X75" s="1"/>
      <c r="CI75" s="83"/>
      <c r="CJ75" s="83"/>
      <c r="CK75" s="83"/>
      <c r="CL75" s="83"/>
      <c r="CM75" s="83"/>
      <c r="CN75" s="83"/>
      <c r="CO75" s="83"/>
    </row>
    <row r="76" spans="1:93" x14ac:dyDescent="0.3">
      <c r="A76" s="83"/>
      <c r="B76" s="104"/>
      <c r="C76" s="300"/>
      <c r="D76" s="267" t="s">
        <v>252</v>
      </c>
      <c r="E76" s="267" t="s">
        <v>137</v>
      </c>
      <c r="F76" s="292">
        <v>1</v>
      </c>
      <c r="G76" s="292">
        <v>1</v>
      </c>
      <c r="H76" s="292" t="s">
        <v>352</v>
      </c>
      <c r="I76" s="292" t="s">
        <v>531</v>
      </c>
      <c r="J76" s="292" t="str">
        <f>+IF(F76&gt;'Equipment Data'!$L$139,"yes","No")</f>
        <v>No</v>
      </c>
      <c r="K76" s="292">
        <v>0.67</v>
      </c>
      <c r="L76" s="292"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2">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5"/>
      <c r="S76" s="310"/>
      <c r="T76" s="106"/>
      <c r="U76" s="105"/>
      <c r="V76" s="105"/>
      <c r="W76" s="83"/>
      <c r="X76" s="1"/>
      <c r="CI76" s="83"/>
      <c r="CJ76" s="83"/>
      <c r="CK76" s="83"/>
      <c r="CL76" s="83"/>
      <c r="CM76" s="83"/>
      <c r="CN76" s="83"/>
      <c r="CO76" s="83"/>
    </row>
    <row r="77" spans="1:93" x14ac:dyDescent="0.3">
      <c r="A77" s="83"/>
      <c r="B77" s="104"/>
      <c r="C77" s="300"/>
      <c r="D77" s="267" t="s">
        <v>252</v>
      </c>
      <c r="E77" s="267" t="s">
        <v>128</v>
      </c>
      <c r="F77" s="292">
        <v>1</v>
      </c>
      <c r="G77" s="292">
        <v>1</v>
      </c>
      <c r="H77" s="292" t="s">
        <v>352</v>
      </c>
      <c r="I77" s="292" t="s">
        <v>85</v>
      </c>
      <c r="J77" s="292" t="str">
        <f>+IF(F77&gt;'Equipment Data'!$L$141,"yes","No")</f>
        <v>No</v>
      </c>
      <c r="K77" s="292">
        <v>0.67</v>
      </c>
      <c r="L77" s="292"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2">
        <f>+IF(I77="CS",'Equipment Data'!$C$162,IF(I77="Cu",'Equipment Data'!$D$162,IF(I77="SS",'Equipment Data'!$E$162,IF(I77="Ni",'Equipment Data'!$F$162,IF(I77="Ti",'Equipment Data'!$G$162,"N/A")))))</f>
        <v>1</v>
      </c>
      <c r="P77" s="166">
        <f>+'Equipment Data'!$I$141+'Equipment Data'!$J$141*N77*O77</f>
        <v>2.17</v>
      </c>
      <c r="Q77" s="167">
        <f t="shared" si="7"/>
        <v>98301.406968796393</v>
      </c>
      <c r="R77" s="305"/>
      <c r="S77" s="310"/>
      <c r="T77" s="106"/>
      <c r="U77" s="105"/>
      <c r="V77" s="105"/>
      <c r="W77" s="83"/>
      <c r="X77" s="1"/>
      <c r="CI77" s="83"/>
      <c r="CJ77" s="83"/>
      <c r="CK77" s="83"/>
      <c r="CL77" s="83"/>
      <c r="CM77" s="83"/>
      <c r="CN77" s="83"/>
      <c r="CO77" s="83"/>
    </row>
    <row r="78" spans="1:93" x14ac:dyDescent="0.3">
      <c r="A78" s="83"/>
      <c r="B78" s="104"/>
      <c r="C78" s="300"/>
      <c r="D78" s="267" t="s">
        <v>252</v>
      </c>
      <c r="E78" s="267" t="s">
        <v>129</v>
      </c>
      <c r="F78" s="292">
        <v>1</v>
      </c>
      <c r="G78" s="292">
        <v>1</v>
      </c>
      <c r="H78" s="292" t="s">
        <v>352</v>
      </c>
      <c r="I78" s="292" t="s">
        <v>85</v>
      </c>
      <c r="J78" s="292" t="str">
        <f>+IF(F78&gt;'Equipment Data'!$L$142,"yes","No")</f>
        <v>No</v>
      </c>
      <c r="K78" s="292">
        <v>0.67</v>
      </c>
      <c r="L78" s="292"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2">
        <f>+IF(I78="CS",'Equipment Data'!$C$163,IF(I78="Cu",'Equipment Data'!$D$163,IF(I78="SS",'Equipment Data'!$E$163,IF(I78="Ni",'Equipment Data'!$F$163,IF(I78="Ti",'Equipment Data'!$G$163,"N/A")))))</f>
        <v>1</v>
      </c>
      <c r="P78" s="166">
        <f>+'Equipment Data'!$I$142+'Equipment Data'!$J$142*N78*O78</f>
        <v>2.17</v>
      </c>
      <c r="Q78" s="167">
        <f t="shared" si="7"/>
        <v>100475.39769168713</v>
      </c>
      <c r="R78" s="305"/>
      <c r="S78" s="310"/>
      <c r="T78" s="106"/>
      <c r="U78" s="105"/>
      <c r="V78" s="105"/>
      <c r="W78" s="83"/>
      <c r="X78" s="1"/>
      <c r="CI78" s="83"/>
      <c r="CJ78" s="83"/>
      <c r="CK78" s="83"/>
      <c r="CL78" s="83"/>
      <c r="CM78" s="83"/>
      <c r="CN78" s="83"/>
      <c r="CO78" s="83"/>
    </row>
    <row r="79" spans="1:93" x14ac:dyDescent="0.3">
      <c r="A79" s="83"/>
      <c r="B79" s="104"/>
      <c r="C79" s="218"/>
      <c r="D79" s="267" t="s">
        <v>526</v>
      </c>
      <c r="E79" s="267" t="s">
        <v>146</v>
      </c>
      <c r="F79" s="292">
        <v>1</v>
      </c>
      <c r="G79" s="292" t="s">
        <v>354</v>
      </c>
      <c r="H79" s="292" t="s">
        <v>474</v>
      </c>
      <c r="I79" s="292" t="s">
        <v>354</v>
      </c>
      <c r="J79" s="292" t="str">
        <f>+IF(F79&gt;'Equipment Data'!$G$172,"yes","No")</f>
        <v>No</v>
      </c>
      <c r="K79" s="292">
        <v>0.67</v>
      </c>
      <c r="L79" s="292"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2" t="s">
        <v>354</v>
      </c>
      <c r="O79" s="292" t="s">
        <v>354</v>
      </c>
      <c r="P79" s="292">
        <f>+'Equipment Data'!$H$172</f>
        <v>1.38</v>
      </c>
      <c r="Q79" s="167">
        <f>+M79*P79</f>
        <v>9794.4281887035741</v>
      </c>
      <c r="R79" s="296"/>
      <c r="S79" s="223"/>
      <c r="T79" s="106"/>
      <c r="U79" s="105"/>
      <c r="V79" s="105"/>
      <c r="W79" s="83"/>
      <c r="X79" s="1"/>
      <c r="CI79" s="83"/>
      <c r="CJ79" s="83"/>
      <c r="CK79" s="83"/>
      <c r="CL79" s="83"/>
      <c r="CM79" s="83"/>
      <c r="CN79" s="83"/>
      <c r="CO79" s="83"/>
    </row>
    <row r="80" spans="1:93" x14ac:dyDescent="0.3">
      <c r="A80" s="83"/>
      <c r="B80" s="104"/>
      <c r="C80" s="216"/>
      <c r="D80" s="267" t="s">
        <v>526</v>
      </c>
      <c r="E80" s="267" t="s">
        <v>147</v>
      </c>
      <c r="F80" s="292">
        <v>1</v>
      </c>
      <c r="G80" s="292" t="s">
        <v>354</v>
      </c>
      <c r="H80" s="292" t="s">
        <v>474</v>
      </c>
      <c r="I80" s="292" t="s">
        <v>354</v>
      </c>
      <c r="J80" s="292" t="str">
        <f>+IF(F80&gt;'Equipment Data'!$G$173,"yes","No")</f>
        <v>No</v>
      </c>
      <c r="K80" s="292">
        <v>0.67</v>
      </c>
      <c r="L80" s="292"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2" t="s">
        <v>354</v>
      </c>
      <c r="O80" s="292" t="s">
        <v>354</v>
      </c>
      <c r="P80" s="292">
        <f>+'Equipment Data'!$H$173</f>
        <v>1.38</v>
      </c>
      <c r="Q80" s="167">
        <f>+P80*M80</f>
        <v>28878.796233382836</v>
      </c>
      <c r="R80" s="293"/>
      <c r="S80" s="217"/>
      <c r="T80" s="106"/>
      <c r="U80" s="105"/>
      <c r="V80" s="105"/>
      <c r="W80" s="83"/>
      <c r="X80" s="1"/>
      <c r="CI80" s="83"/>
      <c r="CJ80" s="83"/>
      <c r="CK80" s="83"/>
      <c r="CL80" s="83"/>
      <c r="CM80" s="83"/>
      <c r="CN80" s="83"/>
      <c r="CO80" s="83"/>
    </row>
    <row r="81" spans="1:93" x14ac:dyDescent="0.3">
      <c r="A81" s="83"/>
      <c r="B81" s="104"/>
      <c r="C81" s="216"/>
      <c r="D81" s="267" t="s">
        <v>526</v>
      </c>
      <c r="E81" s="267" t="s">
        <v>148</v>
      </c>
      <c r="F81" s="292">
        <v>1</v>
      </c>
      <c r="G81" s="292" t="s">
        <v>354</v>
      </c>
      <c r="H81" s="292" t="s">
        <v>474</v>
      </c>
      <c r="I81" s="292" t="s">
        <v>354</v>
      </c>
      <c r="J81" s="292" t="str">
        <f>+IF(F81&gt;'Equipment Data'!$G$174,"yes","No")</f>
        <v>No</v>
      </c>
      <c r="K81" s="292">
        <v>0.67</v>
      </c>
      <c r="L81" s="292"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2" t="s">
        <v>354</v>
      </c>
      <c r="O81" s="292" t="s">
        <v>354</v>
      </c>
      <c r="P81" s="292">
        <f>+'Equipment Data'!$H$174</f>
        <v>1.38</v>
      </c>
      <c r="Q81" s="167">
        <f>+P81*M81</f>
        <v>3540.6181099081195</v>
      </c>
      <c r="R81" s="293"/>
      <c r="S81" s="217"/>
      <c r="T81" s="106"/>
      <c r="U81" s="105"/>
      <c r="V81" s="105"/>
      <c r="W81" s="83"/>
      <c r="X81" s="1"/>
      <c r="CI81" s="83"/>
      <c r="CJ81" s="83"/>
      <c r="CK81" s="83"/>
      <c r="CL81" s="83"/>
      <c r="CM81" s="83"/>
      <c r="CN81" s="83"/>
      <c r="CO81" s="83"/>
    </row>
    <row r="82" spans="1:93" x14ac:dyDescent="0.3">
      <c r="A82" s="83"/>
      <c r="B82" s="104"/>
      <c r="C82" s="299"/>
      <c r="D82" s="267" t="s">
        <v>269</v>
      </c>
      <c r="E82" s="267" t="s">
        <v>156</v>
      </c>
      <c r="F82" s="292">
        <v>1</v>
      </c>
      <c r="G82" s="292">
        <v>1</v>
      </c>
      <c r="H82" s="292" t="s">
        <v>474</v>
      </c>
      <c r="I82" s="292" t="s">
        <v>85</v>
      </c>
      <c r="J82" s="292" t="str">
        <f>+IF(F82&gt;'Equipment Data'!$S$179,"yes","No")</f>
        <v>No</v>
      </c>
      <c r="K82" s="292">
        <v>0.67</v>
      </c>
      <c r="L82" s="292"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5">
        <f>+IF(G82-1.01325&gt;10,10^('Equipment Data'!$F$179+'Equipment Data'!$G$179*LOG10(G82-1.01325)+'Equipment Data'!$H$179*LOG10(G82-1.01325)*LOG10(G82-1.01325)),1)</f>
        <v>1</v>
      </c>
      <c r="O82" s="292">
        <f>+IF(I82="Cl",'Equipment Data'!$K$179,IF(I82="CS",'Equipment Data'!$L$179,IF(I82="Cu",'Equipment Data'!$M$179,IF(I82="SS",'Equipment Data'!$N$179,IF(I82="Ni",'Equipment Data'!$O$179,IF(I82="Ti",'Equipment Data'!$P$179,"N/A"))))))</f>
        <v>1.55</v>
      </c>
      <c r="P82" s="292">
        <f>+'Equipment Data'!$I$179+'Equipment Data'!$J$179*O82*N82</f>
        <v>3.9824999999999999</v>
      </c>
      <c r="Q82" s="167">
        <f>+P82*M82</f>
        <v>9757.8869991277315</v>
      </c>
      <c r="R82" s="303"/>
      <c r="S82" s="304"/>
      <c r="T82" s="106"/>
      <c r="U82" s="105"/>
      <c r="V82" s="105"/>
      <c r="W82" s="83"/>
      <c r="X82" s="1"/>
      <c r="CI82" s="83"/>
      <c r="CJ82" s="83"/>
      <c r="CK82" s="83"/>
      <c r="CL82" s="83"/>
      <c r="CM82" s="83"/>
      <c r="CN82" s="83"/>
      <c r="CO82" s="83"/>
    </row>
    <row r="83" spans="1:93" x14ac:dyDescent="0.3">
      <c r="A83" s="83"/>
      <c r="B83" s="104"/>
      <c r="C83" s="300"/>
      <c r="D83" s="267" t="s">
        <v>269</v>
      </c>
      <c r="E83" s="267" t="s">
        <v>158</v>
      </c>
      <c r="F83" s="292">
        <v>1</v>
      </c>
      <c r="G83" s="292">
        <v>1</v>
      </c>
      <c r="H83" s="292" t="s">
        <v>474</v>
      </c>
      <c r="I83" s="292" t="s">
        <v>85</v>
      </c>
      <c r="J83" s="292" t="str">
        <f>+IF(F83&gt;'Equipment Data'!$S$180,"yes","No")</f>
        <v>No</v>
      </c>
      <c r="K83" s="292">
        <v>0.67</v>
      </c>
      <c r="L83" s="292"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2">
        <f>+IF(G83-1.01325&gt;10,10^('Equipment Data'!$F$180+'Equipment Data'!$G$180*LOG10(G83-1.01325)+'Equipment Data'!$H$180*LOG10(G83-1.01325)*LOG10(G83-1.01325)),1)</f>
        <v>1</v>
      </c>
      <c r="O83" s="292">
        <f>+IF(I83="Cl",'Equipment Data'!$K$180,IF(I83="CS",'Equipment Data'!$L$180,IF(I83="Cu",'Equipment Data'!$M$180,IF(I83="SS",'Equipment Data'!$N$180,IF(I83="Ni",'Equipment Data'!$O$180,IF(I83="Ti",'Equipment Data'!$P$180,"N/A"))))))</f>
        <v>1.41</v>
      </c>
      <c r="P83" s="292">
        <f>+'Equipment Data'!$I$180+'Equipment Data'!$J$180*O83*N83</f>
        <v>3.7934999999999999</v>
      </c>
      <c r="Q83" s="167">
        <f>+M83*P83</f>
        <v>11379.943042847275</v>
      </c>
      <c r="R83" s="305"/>
      <c r="S83" s="306"/>
      <c r="T83" s="106"/>
      <c r="U83" s="105"/>
      <c r="V83" s="105"/>
      <c r="W83" s="83"/>
      <c r="X83" s="1"/>
      <c r="CI83" s="83"/>
      <c r="CJ83" s="83"/>
      <c r="CK83" s="83"/>
      <c r="CL83" s="83"/>
      <c r="CM83" s="83"/>
      <c r="CN83" s="83"/>
      <c r="CO83" s="83"/>
    </row>
    <row r="84" spans="1:93" x14ac:dyDescent="0.3">
      <c r="A84" s="83"/>
      <c r="B84" s="104"/>
      <c r="C84" s="300"/>
      <c r="D84" s="267" t="s">
        <v>269</v>
      </c>
      <c r="E84" s="267" t="s">
        <v>159</v>
      </c>
      <c r="F84" s="292">
        <v>1</v>
      </c>
      <c r="G84" s="292">
        <v>1</v>
      </c>
      <c r="H84" s="292" t="s">
        <v>474</v>
      </c>
      <c r="I84" s="292" t="s">
        <v>85</v>
      </c>
      <c r="J84" s="292" t="str">
        <f>+IF(F84&gt;'Equipment Data'!$S$181,"yes","No")</f>
        <v>No</v>
      </c>
      <c r="K84" s="292">
        <v>0.67</v>
      </c>
      <c r="L84" s="292"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2">
        <f>+IF(G84-1.01325&gt;10,10^('Equipment Data'!$F$181+'Equipment Data'!$G$181*LOG10(G84-1.01325)+'Equipment Data'!$H$181*LOG10(G84-1.01325)*LOG10(G84-1.01325)),1)</f>
        <v>1</v>
      </c>
      <c r="O84" s="292">
        <f>+IF(I84="Cl",'Equipment Data'!$K$181,IF(I84="CS",'Equipment Data'!$L$181,IF(I84="Cu",'Equipment Data'!$M$181,IF(I84="SS",'Equipment Data'!$N$181,IF(I84="Ni",'Equipment Data'!$O$181,IF(I84="Ti",'Equipment Data'!$P$181,"N/A"))))))</f>
        <v>1.46</v>
      </c>
      <c r="P84" s="292">
        <f>+'Equipment Data'!$I$181+'Equipment Data'!$J$181*O84*N84</f>
        <v>3.8609999999999998</v>
      </c>
      <c r="Q84" s="167">
        <f>+M84*P84</f>
        <v>28595.638727427508</v>
      </c>
      <c r="R84" s="305"/>
      <c r="S84" s="306"/>
      <c r="T84" s="106"/>
      <c r="U84" s="105"/>
      <c r="V84" s="105"/>
      <c r="W84" s="83"/>
      <c r="X84" s="1"/>
      <c r="CI84" s="83"/>
      <c r="CJ84" s="83"/>
      <c r="CK84" s="83"/>
      <c r="CL84" s="83"/>
      <c r="CM84" s="83"/>
      <c r="CN84" s="83"/>
      <c r="CO84" s="83"/>
    </row>
    <row r="85" spans="1:93" x14ac:dyDescent="0.3">
      <c r="A85" s="83"/>
      <c r="B85" s="104"/>
      <c r="C85" s="218"/>
      <c r="D85" s="267" t="s">
        <v>527</v>
      </c>
      <c r="E85" s="267" t="s">
        <v>161</v>
      </c>
      <c r="F85" s="292">
        <v>1</v>
      </c>
      <c r="G85" s="292" t="s">
        <v>354</v>
      </c>
      <c r="H85" s="292" t="s">
        <v>472</v>
      </c>
      <c r="I85" s="292" t="s">
        <v>354</v>
      </c>
      <c r="J85" s="292" t="str">
        <f>+IF(F85&gt;'Equipment Data'!$G$186,"yes","No")</f>
        <v>No</v>
      </c>
      <c r="K85" s="292">
        <v>0.67</v>
      </c>
      <c r="L85" s="292"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2" t="s">
        <v>354</v>
      </c>
      <c r="O85" s="292" t="s">
        <v>354</v>
      </c>
      <c r="P85" s="295">
        <f>+'Equipment Data'!$H$186</f>
        <v>4</v>
      </c>
      <c r="Q85" s="167">
        <f t="shared" ref="Q85:Q96" si="8">+M85*P85</f>
        <v>144797.14248969589</v>
      </c>
      <c r="R85" s="296"/>
      <c r="S85" s="223"/>
      <c r="T85" s="106"/>
      <c r="U85" s="105"/>
      <c r="V85" s="105"/>
      <c r="W85" s="83"/>
      <c r="X85" s="1"/>
      <c r="CI85" s="83"/>
      <c r="CJ85" s="83"/>
      <c r="CK85" s="83"/>
      <c r="CL85" s="83"/>
      <c r="CM85" s="83"/>
      <c r="CN85" s="83"/>
      <c r="CO85" s="83"/>
    </row>
    <row r="86" spans="1:93" x14ac:dyDescent="0.3">
      <c r="A86" s="83"/>
      <c r="B86" s="104"/>
      <c r="C86" s="216"/>
      <c r="D86" s="267" t="s">
        <v>527</v>
      </c>
      <c r="E86" s="267" t="s">
        <v>162</v>
      </c>
      <c r="F86" s="292">
        <v>1</v>
      </c>
      <c r="G86" s="292" t="s">
        <v>354</v>
      </c>
      <c r="H86" s="292" t="s">
        <v>472</v>
      </c>
      <c r="I86" s="292" t="s">
        <v>354</v>
      </c>
      <c r="J86" s="292" t="str">
        <f>+IF(F86&gt;'Equipment Data'!$G$187,"yes","No")</f>
        <v>No</v>
      </c>
      <c r="K86" s="292">
        <v>0.67</v>
      </c>
      <c r="L86" s="292"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2" t="s">
        <v>354</v>
      </c>
      <c r="O86" s="292" t="s">
        <v>354</v>
      </c>
      <c r="P86" s="295">
        <f>+'Equipment Data'!$H$187</f>
        <v>4</v>
      </c>
      <c r="Q86" s="167">
        <f t="shared" si="8"/>
        <v>50963.58743676445</v>
      </c>
      <c r="R86" s="293"/>
      <c r="S86" s="217"/>
      <c r="T86" s="106"/>
      <c r="U86" s="105"/>
      <c r="V86" s="105"/>
      <c r="W86" s="83"/>
      <c r="X86" s="1"/>
      <c r="CI86" s="83"/>
      <c r="CJ86" s="83"/>
      <c r="CK86" s="83"/>
      <c r="CL86" s="83"/>
      <c r="CM86" s="83"/>
      <c r="CN86" s="83"/>
      <c r="CO86" s="83"/>
    </row>
    <row r="87" spans="1:93" x14ac:dyDescent="0.3">
      <c r="A87" s="83"/>
      <c r="B87" s="104"/>
      <c r="C87" s="216"/>
      <c r="D87" s="267" t="s">
        <v>527</v>
      </c>
      <c r="E87" s="267" t="s">
        <v>163</v>
      </c>
      <c r="F87" s="292">
        <v>1</v>
      </c>
      <c r="G87" s="292" t="s">
        <v>354</v>
      </c>
      <c r="H87" s="292" t="s">
        <v>472</v>
      </c>
      <c r="I87" s="292" t="s">
        <v>354</v>
      </c>
      <c r="J87" s="292" t="str">
        <f>+IF(F87&gt;'Equipment Data'!$G$188,"yes","No")</f>
        <v>No</v>
      </c>
      <c r="K87" s="292">
        <v>0.67</v>
      </c>
      <c r="L87" s="292"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2" t="s">
        <v>354</v>
      </c>
      <c r="O87" s="292" t="s">
        <v>354</v>
      </c>
      <c r="P87" s="295">
        <f>+'Equipment Data'!$H$188</f>
        <v>4</v>
      </c>
      <c r="Q87" s="167">
        <f t="shared" si="8"/>
        <v>24989.639516062187</v>
      </c>
      <c r="R87" s="293"/>
      <c r="S87" s="217"/>
      <c r="T87" s="106"/>
      <c r="U87" s="105"/>
      <c r="V87" s="105"/>
      <c r="W87" s="83"/>
      <c r="X87" s="1"/>
      <c r="CI87" s="83"/>
      <c r="CJ87" s="83"/>
      <c r="CK87" s="83"/>
      <c r="CL87" s="83"/>
      <c r="CM87" s="83"/>
      <c r="CN87" s="83"/>
      <c r="CO87" s="83"/>
    </row>
    <row r="88" spans="1:93" x14ac:dyDescent="0.3">
      <c r="A88" s="83"/>
      <c r="B88" s="104"/>
      <c r="C88" s="216"/>
      <c r="D88" s="267" t="s">
        <v>527</v>
      </c>
      <c r="E88" s="267" t="s">
        <v>164</v>
      </c>
      <c r="F88" s="292">
        <v>1</v>
      </c>
      <c r="G88" s="292" t="s">
        <v>354</v>
      </c>
      <c r="H88" s="292" t="s">
        <v>472</v>
      </c>
      <c r="I88" s="292" t="s">
        <v>354</v>
      </c>
      <c r="J88" s="292" t="str">
        <f>+IF(F88&gt;'Equipment Data'!$G$189,"yes","No")</f>
        <v>No</v>
      </c>
      <c r="K88" s="292">
        <v>0.67</v>
      </c>
      <c r="L88" s="292"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2" t="s">
        <v>354</v>
      </c>
      <c r="O88" s="292" t="s">
        <v>354</v>
      </c>
      <c r="P88" s="295">
        <f>+'Equipment Data'!$H$189</f>
        <v>4</v>
      </c>
      <c r="Q88" s="167">
        <f t="shared" si="8"/>
        <v>50963.58743676445</v>
      </c>
      <c r="R88" s="293"/>
      <c r="S88" s="217"/>
      <c r="T88" s="106"/>
      <c r="U88" s="105"/>
      <c r="V88" s="105"/>
      <c r="W88" s="83"/>
      <c r="X88" s="1"/>
      <c r="CI88" s="83"/>
      <c r="CJ88" s="83"/>
      <c r="CK88" s="83"/>
      <c r="CL88" s="83"/>
      <c r="CM88" s="83"/>
      <c r="CN88" s="83"/>
      <c r="CO88" s="83"/>
    </row>
    <row r="89" spans="1:93" x14ac:dyDescent="0.3">
      <c r="A89" s="83"/>
      <c r="B89" s="104"/>
      <c r="C89" s="216"/>
      <c r="D89" s="267" t="s">
        <v>527</v>
      </c>
      <c r="E89" s="267" t="s">
        <v>165</v>
      </c>
      <c r="F89" s="292">
        <v>1</v>
      </c>
      <c r="G89" s="292" t="s">
        <v>354</v>
      </c>
      <c r="H89" s="292" t="s">
        <v>472</v>
      </c>
      <c r="I89" s="292" t="s">
        <v>354</v>
      </c>
      <c r="J89" s="292" t="str">
        <f>+IF(F89&gt;'Equipment Data'!$G$190,"yes","No")</f>
        <v>No</v>
      </c>
      <c r="K89" s="292">
        <v>0.67</v>
      </c>
      <c r="L89" s="292"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2" t="s">
        <v>354</v>
      </c>
      <c r="O89" s="292" t="s">
        <v>354</v>
      </c>
      <c r="P89" s="295">
        <f>+'Equipment Data'!$H$190</f>
        <v>4</v>
      </c>
      <c r="Q89" s="167">
        <f t="shared" si="8"/>
        <v>8946.6405978647181</v>
      </c>
      <c r="R89" s="293"/>
      <c r="S89" s="217"/>
      <c r="T89" s="106"/>
      <c r="U89" s="105"/>
      <c r="V89" s="105"/>
      <c r="W89" s="83"/>
      <c r="X89" s="1"/>
      <c r="CI89" s="83"/>
      <c r="CJ89" s="83"/>
      <c r="CK89" s="83"/>
      <c r="CL89" s="83"/>
      <c r="CM89" s="83"/>
      <c r="CN89" s="83"/>
      <c r="CO89" s="83"/>
    </row>
    <row r="90" spans="1:93" x14ac:dyDescent="0.3">
      <c r="A90" s="83"/>
      <c r="B90" s="104"/>
      <c r="C90" s="224"/>
      <c r="D90" s="267" t="s">
        <v>527</v>
      </c>
      <c r="E90" s="267" t="s">
        <v>166</v>
      </c>
      <c r="F90" s="292">
        <v>1</v>
      </c>
      <c r="G90" s="292" t="s">
        <v>354</v>
      </c>
      <c r="H90" s="292" t="s">
        <v>472</v>
      </c>
      <c r="I90" s="292" t="s">
        <v>354</v>
      </c>
      <c r="J90" s="292" t="str">
        <f>+IF(F90&gt;'Equipment Data'!$G$191,"yes","No")</f>
        <v>No</v>
      </c>
      <c r="K90" s="292">
        <v>0.67</v>
      </c>
      <c r="L90" s="292"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2" t="s">
        <v>354</v>
      </c>
      <c r="O90" s="292" t="s">
        <v>354</v>
      </c>
      <c r="P90" s="295">
        <f>+'Equipment Data'!$H$191</f>
        <v>4</v>
      </c>
      <c r="Q90" s="167">
        <f t="shared" si="8"/>
        <v>205901.72797250503</v>
      </c>
      <c r="R90" s="293"/>
      <c r="S90" s="217"/>
      <c r="T90" s="106"/>
      <c r="U90" s="105"/>
      <c r="V90" s="105"/>
      <c r="W90" s="83"/>
      <c r="X90" s="1"/>
      <c r="CI90" s="83"/>
      <c r="CJ90" s="83"/>
      <c r="CK90" s="83"/>
      <c r="CL90" s="83"/>
      <c r="CM90" s="83"/>
      <c r="CN90" s="83"/>
      <c r="CO90" s="83"/>
    </row>
    <row r="91" spans="1:93" x14ac:dyDescent="0.3">
      <c r="A91" s="83"/>
      <c r="B91" s="104"/>
      <c r="C91" s="300"/>
      <c r="D91" s="267" t="s">
        <v>528</v>
      </c>
      <c r="E91" s="267" t="s">
        <v>168</v>
      </c>
      <c r="F91" s="292">
        <v>1</v>
      </c>
      <c r="G91" s="292" t="s">
        <v>354</v>
      </c>
      <c r="H91" s="292" t="s">
        <v>352</v>
      </c>
      <c r="I91" s="292" t="s">
        <v>354</v>
      </c>
      <c r="J91" s="292" t="str">
        <f>+IF(F91&gt;'Equipment Data'!$G$196,"yes","No")</f>
        <v>No</v>
      </c>
      <c r="K91" s="292">
        <v>0.67</v>
      </c>
      <c r="L91" s="292"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2" t="s">
        <v>354</v>
      </c>
      <c r="O91" s="292" t="s">
        <v>354</v>
      </c>
      <c r="P91" s="292">
        <f>+'Equipment Data'!$H$196</f>
        <v>1.34</v>
      </c>
      <c r="Q91" s="167">
        <f t="shared" si="8"/>
        <v>8552.7307149533608</v>
      </c>
      <c r="R91" s="303"/>
      <c r="S91" s="304"/>
      <c r="T91" s="106"/>
      <c r="U91" s="105"/>
      <c r="V91" s="105"/>
      <c r="W91" s="83"/>
      <c r="X91" s="1"/>
      <c r="CI91" s="83"/>
      <c r="CJ91" s="83"/>
      <c r="CK91" s="83"/>
      <c r="CL91" s="83"/>
      <c r="CM91" s="83"/>
      <c r="CN91" s="83"/>
      <c r="CO91" s="83"/>
    </row>
    <row r="92" spans="1:93" x14ac:dyDescent="0.3">
      <c r="A92" s="83"/>
      <c r="B92" s="104"/>
      <c r="C92" s="300"/>
      <c r="D92" s="267" t="s">
        <v>528</v>
      </c>
      <c r="E92" s="267" t="s">
        <v>514</v>
      </c>
      <c r="F92" s="292">
        <v>1</v>
      </c>
      <c r="G92" s="292" t="s">
        <v>354</v>
      </c>
      <c r="H92" s="292" t="s">
        <v>352</v>
      </c>
      <c r="I92" s="292" t="s">
        <v>354</v>
      </c>
      <c r="J92" s="292" t="str">
        <f>+IF(F92&gt;'Equipment Data'!$G$197,"yes","No")</f>
        <v>No</v>
      </c>
      <c r="K92" s="292">
        <v>0.67</v>
      </c>
      <c r="L92" s="292"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2" t="s">
        <v>354</v>
      </c>
      <c r="O92" s="292" t="s">
        <v>354</v>
      </c>
      <c r="P92" s="292">
        <f>+'Equipment Data'!$H$197</f>
        <v>1.34</v>
      </c>
      <c r="Q92" s="167">
        <f t="shared" si="8"/>
        <v>14983.207649428554</v>
      </c>
      <c r="R92" s="305"/>
      <c r="S92" s="306"/>
      <c r="T92" s="106"/>
      <c r="U92" s="105"/>
      <c r="V92" s="105"/>
      <c r="W92" s="83"/>
      <c r="X92" s="1"/>
      <c r="CI92" s="83"/>
      <c r="CJ92" s="83"/>
      <c r="CK92" s="83"/>
      <c r="CL92" s="83"/>
      <c r="CM92" s="83"/>
      <c r="CN92" s="83"/>
      <c r="CO92" s="83"/>
    </row>
    <row r="93" spans="1:93" x14ac:dyDescent="0.3">
      <c r="A93" s="83"/>
      <c r="B93" s="104"/>
      <c r="C93" s="300"/>
      <c r="D93" s="267" t="s">
        <v>528</v>
      </c>
      <c r="E93" s="267" t="s">
        <v>169</v>
      </c>
      <c r="F93" s="292">
        <v>1</v>
      </c>
      <c r="G93" s="292" t="s">
        <v>354</v>
      </c>
      <c r="H93" s="292" t="s">
        <v>352</v>
      </c>
      <c r="I93" s="292" t="s">
        <v>354</v>
      </c>
      <c r="J93" s="292" t="str">
        <f>+IF(F93&gt;'Equipment Data'!$G$198,"yes","No")</f>
        <v>No</v>
      </c>
      <c r="K93" s="292">
        <v>0.67</v>
      </c>
      <c r="L93" s="292"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2" t="s">
        <v>354</v>
      </c>
      <c r="O93" s="292" t="s">
        <v>354</v>
      </c>
      <c r="P93" s="292">
        <f>+'Equipment Data'!$H$198</f>
        <v>1.34</v>
      </c>
      <c r="Q93" s="167">
        <f t="shared" si="8"/>
        <v>8892.1094237817506</v>
      </c>
      <c r="R93" s="305"/>
      <c r="S93" s="306"/>
      <c r="T93" s="106"/>
      <c r="U93" s="105"/>
      <c r="V93" s="105"/>
      <c r="W93" s="83"/>
      <c r="X93" s="1"/>
      <c r="CI93" s="83"/>
      <c r="CJ93" s="83"/>
      <c r="CK93" s="83"/>
      <c r="CL93" s="83"/>
      <c r="CM93" s="83"/>
      <c r="CN93" s="83"/>
      <c r="CO93" s="83"/>
    </row>
    <row r="94" spans="1:93" x14ac:dyDescent="0.3">
      <c r="A94" s="83"/>
      <c r="B94" s="104"/>
      <c r="C94" s="301"/>
      <c r="D94" s="267" t="s">
        <v>528</v>
      </c>
      <c r="E94" s="267" t="s">
        <v>170</v>
      </c>
      <c r="F94" s="292">
        <v>1</v>
      </c>
      <c r="G94" s="292" t="s">
        <v>354</v>
      </c>
      <c r="H94" s="292" t="s">
        <v>352</v>
      </c>
      <c r="I94" s="292" t="s">
        <v>354</v>
      </c>
      <c r="J94" s="292" t="str">
        <f>+IF(F94&gt;'Equipment Data'!$G$199,"yes","No")</f>
        <v>No</v>
      </c>
      <c r="K94" s="292">
        <v>0.67</v>
      </c>
      <c r="L94" s="292"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2" t="s">
        <v>354</v>
      </c>
      <c r="O94" s="292" t="s">
        <v>354</v>
      </c>
      <c r="P94" s="292">
        <f>+'Equipment Data'!$H$199</f>
        <v>1.34</v>
      </c>
      <c r="Q94" s="167">
        <f t="shared" si="8"/>
        <v>14983.207649428554</v>
      </c>
      <c r="R94" s="307"/>
      <c r="S94" s="308"/>
      <c r="T94" s="106"/>
      <c r="U94" s="105"/>
      <c r="V94" s="105"/>
      <c r="W94" s="83"/>
      <c r="X94" s="1"/>
      <c r="CI94" s="83"/>
      <c r="CJ94" s="83"/>
      <c r="CK94" s="83"/>
      <c r="CL94" s="83"/>
      <c r="CM94" s="83"/>
      <c r="CN94" s="83"/>
      <c r="CO94" s="83"/>
    </row>
    <row r="95" spans="1:93" x14ac:dyDescent="0.3">
      <c r="A95" s="83"/>
      <c r="B95" s="104"/>
      <c r="C95" s="218"/>
      <c r="D95" s="267" t="s">
        <v>257</v>
      </c>
      <c r="E95" s="267" t="s">
        <v>172</v>
      </c>
      <c r="F95" s="292">
        <v>1</v>
      </c>
      <c r="G95" s="292" t="s">
        <v>354</v>
      </c>
      <c r="H95" s="292" t="s">
        <v>472</v>
      </c>
      <c r="I95" s="292" t="s">
        <v>354</v>
      </c>
      <c r="J95" s="292" t="str">
        <f>+IF(F95&gt;'Equipment Data'!$I$204,"yes","No")</f>
        <v>No</v>
      </c>
      <c r="K95" s="292">
        <v>0.67</v>
      </c>
      <c r="L95" s="292"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2" t="s">
        <v>354</v>
      </c>
      <c r="O95" s="292" t="s">
        <v>354</v>
      </c>
      <c r="P95" s="292">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2">
        <v>1</v>
      </c>
      <c r="G96" s="292" t="s">
        <v>354</v>
      </c>
      <c r="H96" s="292" t="s">
        <v>472</v>
      </c>
      <c r="I96" s="292" t="s">
        <v>354</v>
      </c>
      <c r="J96" s="292" t="str">
        <f>+IF(F96&gt;'Equipment Data'!$I$205,"yes","No")</f>
        <v>No</v>
      </c>
      <c r="K96" s="292">
        <v>0.67</v>
      </c>
      <c r="L96" s="292"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2" t="s">
        <v>354</v>
      </c>
      <c r="O96" s="292" t="s">
        <v>354</v>
      </c>
      <c r="P96" s="292">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299"/>
      <c r="D97" s="267" t="s">
        <v>148</v>
      </c>
      <c r="E97" s="267" t="s">
        <v>24</v>
      </c>
      <c r="F97" s="292">
        <v>1</v>
      </c>
      <c r="G97" s="292" t="s">
        <v>354</v>
      </c>
      <c r="H97" s="292" t="s">
        <v>474</v>
      </c>
      <c r="I97" s="292" t="s">
        <v>85</v>
      </c>
      <c r="J97" s="292" t="str">
        <f>+IF(F97&gt;'Equipment Data'!$M$210,"yes","No")</f>
        <v>No</v>
      </c>
      <c r="K97" s="292">
        <v>0.67</v>
      </c>
      <c r="L97" s="292"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2" t="s">
        <v>354</v>
      </c>
      <c r="O97" s="292" t="s">
        <v>354</v>
      </c>
      <c r="P97" s="292">
        <f>+IF(I97="Cl",'Equipment Data'!$F$210,IF(I97="CS",'Equipment Data'!$G$210,IF(I97="Cu",'Equipment Data'!$H$210,IF(I97="SS",'Equipment Data'!$I$210,IF(I97="Ni",'Equipment Data'!$J$210,IF(I97="Ti",'Equipment Data'!$K$210,"N/A"))))))</f>
        <v>3.5</v>
      </c>
      <c r="Q97" s="167">
        <f>+M97*P97</f>
        <v>1774.8761122418107</v>
      </c>
      <c r="R97" s="303"/>
      <c r="S97" s="304"/>
      <c r="T97" s="106"/>
      <c r="U97" s="105"/>
      <c r="V97" s="105"/>
      <c r="W97" s="83"/>
      <c r="X97" s="1"/>
      <c r="CI97" s="83"/>
      <c r="CJ97" s="83"/>
      <c r="CK97" s="83"/>
      <c r="CL97" s="83"/>
      <c r="CM97" s="83"/>
      <c r="CN97" s="83"/>
      <c r="CO97" s="83"/>
    </row>
    <row r="98" spans="1:93" x14ac:dyDescent="0.3">
      <c r="A98" s="83"/>
      <c r="B98" s="104"/>
      <c r="C98" s="301"/>
      <c r="D98" s="267" t="s">
        <v>148</v>
      </c>
      <c r="E98" s="267" t="s">
        <v>178</v>
      </c>
      <c r="F98" s="292">
        <v>1</v>
      </c>
      <c r="G98" s="292" t="s">
        <v>354</v>
      </c>
      <c r="H98" s="292" t="s">
        <v>474</v>
      </c>
      <c r="I98" s="292" t="s">
        <v>85</v>
      </c>
      <c r="J98" s="292" t="str">
        <f>+IF(F98&gt;'Equipment Data'!$G$211,"yes","No")</f>
        <v>No</v>
      </c>
      <c r="K98" s="292">
        <v>0.67</v>
      </c>
      <c r="L98" s="292"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2" t="s">
        <v>354</v>
      </c>
      <c r="O98" s="292" t="s">
        <v>354</v>
      </c>
      <c r="P98" s="292">
        <f>+IF(I98="Cl",'Equipment Data'!$F$211,IF(I98="CS",'Equipment Data'!$G$211,IF(I98="Cu",'Equipment Data'!$H$211,IF(I98="SS",'Equipment Data'!$I$211,IF(I98="Ni",'Equipment Data'!$J$211,IF(I98="Ti",'Equipment Data'!$K$211,"N/A"))))))</f>
        <v>3.5</v>
      </c>
      <c r="Q98" s="167">
        <f>+M98*P98</f>
        <v>618.96778239862999</v>
      </c>
      <c r="R98" s="307"/>
      <c r="S98" s="308"/>
      <c r="T98" s="106"/>
      <c r="U98" s="105"/>
      <c r="V98" s="105"/>
      <c r="W98" s="83"/>
      <c r="X98" s="1"/>
      <c r="CI98" s="83"/>
      <c r="CJ98" s="83"/>
      <c r="CK98" s="83"/>
      <c r="CL98" s="83"/>
      <c r="CM98" s="83"/>
      <c r="CN98" s="83"/>
      <c r="CO98" s="83"/>
    </row>
    <row r="99" spans="1:93" x14ac:dyDescent="0.3">
      <c r="A99" s="83"/>
      <c r="B99" s="104"/>
      <c r="C99" s="218"/>
      <c r="D99" s="267" t="s">
        <v>259</v>
      </c>
      <c r="E99" s="267" t="s">
        <v>182</v>
      </c>
      <c r="F99" s="292">
        <v>1</v>
      </c>
      <c r="G99" s="292">
        <v>1</v>
      </c>
      <c r="H99" s="292" t="s">
        <v>472</v>
      </c>
      <c r="I99" s="292" t="s">
        <v>85</v>
      </c>
      <c r="J99" s="292" t="str">
        <f>+IF(F99&gt;'Equipment Data'!$G$216,"yes","No")</f>
        <v>No</v>
      </c>
      <c r="K99" s="292">
        <v>0.67</v>
      </c>
      <c r="L99" s="292"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2">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2">
        <v>1</v>
      </c>
      <c r="G100" s="292">
        <v>1</v>
      </c>
      <c r="H100" s="292" t="s">
        <v>472</v>
      </c>
      <c r="I100" s="292" t="s">
        <v>85</v>
      </c>
      <c r="J100" s="292" t="str">
        <f>+IF(F100&gt;'Equipment Data'!$G$217,"yes","No")</f>
        <v>No</v>
      </c>
      <c r="K100" s="292">
        <v>0.67</v>
      </c>
      <c r="L100" s="292"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2">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2">
        <v>1</v>
      </c>
      <c r="G101" s="292">
        <v>1</v>
      </c>
      <c r="H101" s="292" t="s">
        <v>472</v>
      </c>
      <c r="I101" s="292" t="s">
        <v>85</v>
      </c>
      <c r="J101" s="292" t="str">
        <f>+IF(F101&gt;'Equipment Data'!$G$218,"yes","No")</f>
        <v>No</v>
      </c>
      <c r="K101" s="292">
        <v>0.67</v>
      </c>
      <c r="L101" s="292"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2">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299"/>
      <c r="D102" s="267" t="s">
        <v>260</v>
      </c>
      <c r="E102" s="267" t="s">
        <v>200</v>
      </c>
      <c r="F102" s="292">
        <v>1</v>
      </c>
      <c r="G102" s="292">
        <v>1</v>
      </c>
      <c r="H102" s="292" t="s">
        <v>472</v>
      </c>
      <c r="I102" s="292" t="s">
        <v>85</v>
      </c>
      <c r="J102" s="292" t="str">
        <f>+IF(F102&gt;'Equipment Data'!$K$239,"yes","No")</f>
        <v>No</v>
      </c>
      <c r="K102" s="292">
        <v>0.67</v>
      </c>
      <c r="L102" s="292">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2">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3"/>
      <c r="S102" s="304"/>
      <c r="T102" s="106"/>
      <c r="U102" s="105"/>
      <c r="V102" s="105"/>
      <c r="W102" s="83"/>
      <c r="X102" s="1"/>
      <c r="CI102" s="83"/>
      <c r="CJ102" s="83"/>
      <c r="CK102" s="83"/>
      <c r="CL102" s="83"/>
      <c r="CM102" s="83"/>
      <c r="CN102" s="83"/>
      <c r="CO102" s="83"/>
    </row>
    <row r="103" spans="1:93" x14ac:dyDescent="0.3">
      <c r="A103" s="83"/>
      <c r="B103" s="104"/>
      <c r="C103" s="301"/>
      <c r="D103" s="267" t="s">
        <v>260</v>
      </c>
      <c r="E103" s="267" t="s">
        <v>201</v>
      </c>
      <c r="F103" s="313">
        <v>1</v>
      </c>
      <c r="G103" s="313">
        <v>1</v>
      </c>
      <c r="H103" s="313" t="s">
        <v>472</v>
      </c>
      <c r="I103" s="313" t="s">
        <v>85</v>
      </c>
      <c r="J103" s="313" t="str">
        <f>+IF(F103&gt;'Equipment Data'!$F$239,"yes","No")</f>
        <v>No</v>
      </c>
      <c r="K103" s="313">
        <v>0.67</v>
      </c>
      <c r="L103" s="313">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3">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7"/>
      <c r="S103" s="308"/>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3">
        <v>1</v>
      </c>
      <c r="G104" s="313" t="s">
        <v>354</v>
      </c>
      <c r="H104" s="313" t="s">
        <v>352</v>
      </c>
      <c r="I104" s="313" t="s">
        <v>85</v>
      </c>
      <c r="J104" s="313" t="str">
        <f>+IF(F104&gt;'Equipment Data'!$G$257,"yes","No")</f>
        <v>No</v>
      </c>
      <c r="K104" s="313">
        <v>0.67</v>
      </c>
      <c r="L104" s="313">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3" t="s">
        <v>354</v>
      </c>
      <c r="O104" s="166">
        <f>+IF(L104="","Input nº of Trays",IF(L104&lt;20,10^(0.4771+0.08516*LOG10(L104)-0.3473*LOG10(L104)*LOG10(L104)),1))</f>
        <v>2.9998531811907938</v>
      </c>
      <c r="P104" s="313">
        <f>+IF(I104="CS",'Equipment Data'!$D$262,IF(I104="SS",'Equipment Data'!$D$263,IF(I104="Fluorocarbon",'Equipment Data'!$D$264,IF(I104="Ni Alloy",'Equipment Data'!$D$265,"N/A"))))</f>
        <v>1</v>
      </c>
      <c r="Q104" s="167">
        <f>+M104*O104*P104</f>
        <v>2964.8313895243455</v>
      </c>
      <c r="R104" s="322"/>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3">
        <v>1</v>
      </c>
      <c r="G105" s="313" t="s">
        <v>354</v>
      </c>
      <c r="H105" s="313" t="s">
        <v>352</v>
      </c>
      <c r="I105" s="313" t="s">
        <v>85</v>
      </c>
      <c r="J105" s="313" t="str">
        <f>+IF(F105&gt;'Equipment Data'!$G$258,"yes","No")</f>
        <v>No</v>
      </c>
      <c r="K105" s="313">
        <v>0.67</v>
      </c>
      <c r="L105" s="313">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3" t="s">
        <v>354</v>
      </c>
      <c r="O105" s="166">
        <f>+IF(L105="","Input nº of Trays",IF(L105&lt;20,10^(0.4771+0.08516*LOG10(L105)-0.3473*LOG10(L105)*LOG10(L105)),1))</f>
        <v>2.9998531811907938</v>
      </c>
      <c r="P105" s="313">
        <f>+IF(I105="CS",'Equipment Data'!$E$262,IF(I105="SS",'Equipment Data'!$E$263,IF(I105="Fluorocarbon",'Equipment Data'!$E$264,IF(I105="Ni Alloy",'Equipment Data'!$E$265,"N/A"))))</f>
        <v>1</v>
      </c>
      <c r="Q105" s="167">
        <f t="shared" ref="Q105:Q106" si="10">+M105*O105*P105</f>
        <v>6446.143956044054</v>
      </c>
      <c r="R105" s="315"/>
      <c r="S105" s="168"/>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3">
        <v>1</v>
      </c>
      <c r="G106" s="313" t="s">
        <v>354</v>
      </c>
      <c r="H106" s="313" t="s">
        <v>352</v>
      </c>
      <c r="I106" s="313" t="s">
        <v>85</v>
      </c>
      <c r="J106" s="313" t="str">
        <f>+IF(F106&gt;'Equipment Data'!$G$259,"yes","No")</f>
        <v>No</v>
      </c>
      <c r="K106" s="313">
        <v>0.67</v>
      </c>
      <c r="L106" s="313">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3" t="s">
        <v>354</v>
      </c>
      <c r="O106" s="314">
        <f>+IF(L106="","Input nº of Trays",IF(L106&lt;20,10^(0.4771+0.08516*LOG10(L106)-0.3473*LOG10(L106)*LOG10(L106)),1))</f>
        <v>2.9998531811907938</v>
      </c>
      <c r="P106" s="313">
        <f>+IF(I106="CS",'Equipment Data'!$F$262,IF(I106="SS",'Equipment Data'!$F$263,IF(I106="Fluorocarbon",'Equipment Data'!$F$264,IF(I106="Ni Alloy",'Equipment Data'!$F$265,"N/A"))))</f>
        <v>1</v>
      </c>
      <c r="Q106" s="167">
        <f t="shared" si="10"/>
        <v>5157.0340630264673</v>
      </c>
      <c r="R106" s="319"/>
      <c r="S106" s="205"/>
      <c r="T106" s="106"/>
      <c r="U106" s="105"/>
      <c r="V106" s="105"/>
      <c r="W106" s="83"/>
      <c r="X106" s="1"/>
      <c r="CI106" s="83"/>
      <c r="CJ106" s="83"/>
      <c r="CK106" s="83"/>
      <c r="CL106" s="83"/>
      <c r="CM106" s="83"/>
      <c r="CN106" s="83"/>
      <c r="CO106" s="83"/>
    </row>
    <row r="107" spans="1:93" x14ac:dyDescent="0.3">
      <c r="A107" s="83"/>
      <c r="B107" s="104"/>
      <c r="C107" s="300"/>
      <c r="D107" s="267" t="s">
        <v>536</v>
      </c>
      <c r="E107" s="267" t="s">
        <v>674</v>
      </c>
      <c r="F107" s="313">
        <v>1</v>
      </c>
      <c r="G107" s="313" t="s">
        <v>354</v>
      </c>
      <c r="H107" s="313" t="s">
        <v>472</v>
      </c>
      <c r="I107" s="313" t="s">
        <v>226</v>
      </c>
      <c r="J107" s="313" t="str">
        <f>+IF(F107&gt;'Equipment Data'!$G$283,"yes","No")</f>
        <v>No</v>
      </c>
      <c r="K107" s="313">
        <v>0.67</v>
      </c>
      <c r="L107" s="313"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3" t="s">
        <v>354</v>
      </c>
      <c r="O107" s="313" t="s">
        <v>354</v>
      </c>
      <c r="P107" s="166">
        <f>+IF(I107="Ceramic",'Equipment Data'!$H$283,IF(I107="304 SS",'Equipment Data'!$H$284,IF(I107="Plastic Saddle",'Equipment Data'!$H$285,"N/A")))</f>
        <v>4.1399999999999997</v>
      </c>
      <c r="Q107" s="167">
        <f>+M107*P107</f>
        <v>1164.93137199697</v>
      </c>
      <c r="R107" s="305"/>
      <c r="S107" s="310"/>
      <c r="T107" s="106"/>
      <c r="U107" s="105"/>
      <c r="V107" s="105"/>
      <c r="W107" s="83"/>
      <c r="X107" s="1"/>
      <c r="CI107" s="83"/>
      <c r="CJ107" s="83"/>
      <c r="CK107" s="83"/>
      <c r="CL107" s="83"/>
      <c r="CM107" s="83"/>
      <c r="CN107" s="83"/>
      <c r="CO107" s="83"/>
    </row>
    <row r="108" spans="1:93" ht="14.4" customHeight="1" x14ac:dyDescent="0.3">
      <c r="A108" s="83"/>
      <c r="B108" s="104"/>
      <c r="C108" s="1073"/>
      <c r="D108" s="1074"/>
      <c r="E108" s="1074"/>
      <c r="F108" s="1074"/>
      <c r="G108" s="1074"/>
      <c r="H108" s="1074"/>
      <c r="I108" s="1074"/>
      <c r="J108" s="1074"/>
      <c r="K108" s="1074"/>
      <c r="L108" s="1074"/>
      <c r="M108" s="1074"/>
      <c r="N108" s="1074"/>
      <c r="O108" s="1074"/>
      <c r="P108" s="1074"/>
      <c r="Q108" s="1074"/>
      <c r="R108" s="1075"/>
      <c r="S108" s="1076"/>
      <c r="T108" s="106"/>
      <c r="U108" s="105"/>
      <c r="V108" s="105"/>
      <c r="W108" s="83"/>
      <c r="X108" s="1"/>
      <c r="CI108" s="83"/>
      <c r="CJ108" s="83"/>
      <c r="CK108" s="83"/>
      <c r="CL108" s="83"/>
      <c r="CM108" s="83"/>
      <c r="CN108" s="83"/>
      <c r="CO108" s="83"/>
    </row>
    <row r="109" spans="1:93" ht="14.4" customHeight="1" x14ac:dyDescent="0.3">
      <c r="A109" s="83"/>
      <c r="B109" s="104"/>
      <c r="C109" s="903"/>
      <c r="D109" s="904"/>
      <c r="E109" s="904"/>
      <c r="F109" s="904"/>
      <c r="G109" s="904"/>
      <c r="H109" s="904"/>
      <c r="I109" s="904"/>
      <c r="J109" s="904"/>
      <c r="K109" s="904"/>
      <c r="L109" s="904"/>
      <c r="M109" s="904"/>
      <c r="N109" s="904"/>
      <c r="O109" s="904"/>
      <c r="P109" s="904"/>
      <c r="Q109" s="904"/>
      <c r="R109" s="905"/>
      <c r="S109" s="1077"/>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078"/>
      <c r="C112" s="1078"/>
      <c r="D112" s="1078"/>
      <c r="E112" s="1078"/>
      <c r="F112" s="1078"/>
      <c r="G112" s="1078"/>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929" t="s">
        <v>358</v>
      </c>
      <c r="C2" s="930"/>
      <c r="D2" s="930"/>
      <c r="E2" s="931"/>
      <c r="F2" s="92"/>
      <c r="G2" s="92"/>
      <c r="H2" s="92"/>
      <c r="I2" s="92"/>
      <c r="J2" s="92"/>
      <c r="K2" s="92"/>
      <c r="L2" s="92"/>
    </row>
    <row r="3" spans="2:12" ht="27" customHeight="1" x14ac:dyDescent="0.3">
      <c r="B3" s="539" t="s">
        <v>699</v>
      </c>
      <c r="C3" s="636" t="s">
        <v>360</v>
      </c>
      <c r="D3" s="637" t="s">
        <v>580</v>
      </c>
      <c r="E3" s="638" t="s">
        <v>700</v>
      </c>
      <c r="F3" s="92"/>
      <c r="G3" s="92"/>
      <c r="H3" s="92"/>
      <c r="I3" s="92"/>
      <c r="J3" s="92"/>
      <c r="K3" s="92"/>
      <c r="L3" s="92"/>
    </row>
    <row r="4" spans="2:12" ht="27" customHeight="1" x14ac:dyDescent="0.3">
      <c r="B4" s="634"/>
      <c r="C4" s="634"/>
      <c r="D4" s="634"/>
      <c r="E4" s="632"/>
      <c r="G4" s="126"/>
      <c r="H4" s="126"/>
      <c r="I4" s="126"/>
      <c r="J4" s="126"/>
      <c r="K4" s="126"/>
      <c r="L4" s="92"/>
    </row>
    <row r="5" spans="2:12" ht="27" customHeight="1" x14ac:dyDescent="0.3">
      <c r="B5" s="634"/>
      <c r="C5" s="634"/>
      <c r="D5" s="634"/>
      <c r="E5" s="632"/>
      <c r="G5" s="125"/>
      <c r="H5" s="125"/>
      <c r="I5" s="125"/>
      <c r="J5" s="125"/>
      <c r="K5" s="125"/>
      <c r="L5" s="92"/>
    </row>
    <row r="6" spans="2:12" ht="27" customHeight="1" x14ac:dyDescent="0.3">
      <c r="B6" s="634"/>
      <c r="C6" s="634"/>
      <c r="D6" s="634"/>
      <c r="E6" s="632"/>
      <c r="G6" s="125"/>
      <c r="H6" s="125"/>
      <c r="I6" s="125"/>
      <c r="J6" s="125"/>
      <c r="K6" s="125"/>
      <c r="L6" s="92"/>
    </row>
    <row r="7" spans="2:12" ht="27" customHeight="1" x14ac:dyDescent="0.3">
      <c r="B7" s="634"/>
      <c r="C7" s="634"/>
      <c r="D7" s="634"/>
      <c r="E7" s="632"/>
      <c r="G7" s="125"/>
      <c r="H7" s="125"/>
      <c r="I7" s="125"/>
      <c r="J7" s="125"/>
      <c r="K7" s="125"/>
      <c r="L7" s="92"/>
    </row>
    <row r="8" spans="2:12" ht="27" customHeight="1" x14ac:dyDescent="0.3">
      <c r="B8" s="634"/>
      <c r="C8" s="634"/>
      <c r="D8" s="634"/>
      <c r="E8" s="632"/>
      <c r="G8" s="125"/>
      <c r="H8" s="125"/>
      <c r="I8" s="125"/>
      <c r="J8" s="125"/>
      <c r="K8" s="125"/>
      <c r="L8" s="92"/>
    </row>
    <row r="9" spans="2:12" ht="27" customHeight="1" x14ac:dyDescent="0.3">
      <c r="B9" s="634"/>
      <c r="C9" s="634"/>
      <c r="D9" s="634"/>
      <c r="E9" s="632"/>
      <c r="G9" s="125"/>
      <c r="H9" s="125"/>
      <c r="I9" s="125"/>
      <c r="J9" s="125"/>
      <c r="K9" s="125"/>
      <c r="L9" s="92"/>
    </row>
    <row r="10" spans="2:12" ht="27" customHeight="1" x14ac:dyDescent="0.3">
      <c r="B10" s="634"/>
      <c r="C10" s="634"/>
      <c r="D10" s="634"/>
      <c r="E10" s="632"/>
      <c r="G10" s="125"/>
      <c r="H10" s="125"/>
      <c r="I10" s="125"/>
      <c r="J10" s="125"/>
      <c r="K10" s="125"/>
      <c r="L10" s="92"/>
    </row>
    <row r="11" spans="2:12" ht="27" customHeight="1" x14ac:dyDescent="0.3">
      <c r="B11" s="634"/>
      <c r="C11" s="634"/>
      <c r="D11" s="634"/>
      <c r="E11" s="632"/>
      <c r="G11" s="125"/>
      <c r="H11" s="125"/>
      <c r="I11" s="125"/>
      <c r="J11" s="125"/>
      <c r="K11" s="125"/>
      <c r="L11" s="92"/>
    </row>
    <row r="12" spans="2:12" ht="27" customHeight="1" x14ac:dyDescent="0.3">
      <c r="B12" s="634"/>
      <c r="C12" s="634"/>
      <c r="D12" s="634"/>
      <c r="E12" s="632"/>
      <c r="G12" s="125"/>
      <c r="H12" s="125"/>
      <c r="I12" s="125"/>
      <c r="J12" s="125"/>
      <c r="K12" s="125"/>
      <c r="L12" s="92"/>
    </row>
    <row r="13" spans="2:12" ht="27" customHeight="1" x14ac:dyDescent="0.3">
      <c r="B13" s="634"/>
      <c r="C13" s="634"/>
      <c r="D13" s="634"/>
      <c r="E13" s="632"/>
      <c r="G13" s="125"/>
      <c r="H13" s="125"/>
      <c r="I13" s="125"/>
      <c r="J13" s="125"/>
      <c r="K13" s="125"/>
      <c r="L13" s="92"/>
    </row>
    <row r="14" spans="2:12" ht="27" customHeight="1" x14ac:dyDescent="0.3">
      <c r="B14" s="634"/>
      <c r="C14" s="634"/>
      <c r="D14" s="634"/>
      <c r="E14" s="632"/>
      <c r="G14" s="125"/>
      <c r="H14" s="125"/>
      <c r="I14" s="125"/>
      <c r="J14" s="125"/>
      <c r="K14" s="125"/>
      <c r="L14" s="92"/>
    </row>
    <row r="15" spans="2:12" ht="27" customHeight="1" x14ac:dyDescent="0.3">
      <c r="B15" s="634"/>
      <c r="C15" s="634"/>
      <c r="D15" s="634"/>
      <c r="E15" s="632"/>
      <c r="G15" s="125"/>
      <c r="H15" s="125"/>
      <c r="I15" s="125"/>
      <c r="J15" s="125"/>
      <c r="K15" s="125"/>
      <c r="L15" s="92"/>
    </row>
    <row r="16" spans="2:12" ht="27" customHeight="1" x14ac:dyDescent="0.3">
      <c r="B16" s="634"/>
      <c r="C16" s="634"/>
      <c r="D16" s="634"/>
      <c r="E16" s="632"/>
      <c r="G16" s="125"/>
      <c r="H16" s="125"/>
      <c r="I16" s="125"/>
      <c r="J16" s="125"/>
      <c r="K16" s="125"/>
      <c r="L16" s="92"/>
    </row>
    <row r="17" spans="2:12" ht="27" customHeight="1" x14ac:dyDescent="0.3">
      <c r="B17" s="634"/>
      <c r="C17" s="634"/>
      <c r="D17" s="634"/>
      <c r="E17" s="632"/>
      <c r="G17" s="125"/>
      <c r="H17" s="125"/>
      <c r="I17" s="125"/>
      <c r="J17" s="125"/>
      <c r="K17" s="125"/>
      <c r="L17" s="92"/>
    </row>
    <row r="18" spans="2:12" ht="27" customHeight="1" x14ac:dyDescent="0.3">
      <c r="B18" s="634"/>
      <c r="C18" s="634"/>
      <c r="D18" s="634"/>
      <c r="E18" s="632"/>
      <c r="G18" s="125"/>
      <c r="H18" s="125"/>
      <c r="I18" s="125"/>
      <c r="J18" s="125"/>
      <c r="K18" s="125"/>
      <c r="L18" s="92"/>
    </row>
    <row r="19" spans="2:12" ht="27" customHeight="1" x14ac:dyDescent="0.3">
      <c r="B19" s="634"/>
      <c r="C19" s="634"/>
      <c r="D19" s="634"/>
      <c r="E19" s="632"/>
      <c r="G19" s="125"/>
      <c r="H19" s="125"/>
      <c r="I19" s="125"/>
      <c r="J19" s="125"/>
      <c r="K19" s="125"/>
      <c r="L19" s="92"/>
    </row>
    <row r="20" spans="2:12" ht="27" customHeight="1" x14ac:dyDescent="0.3">
      <c r="B20" s="634"/>
      <c r="C20" s="634"/>
      <c r="D20" s="634"/>
      <c r="E20" s="632"/>
      <c r="G20" s="125"/>
      <c r="H20" s="125"/>
      <c r="I20" s="125"/>
      <c r="J20" s="125"/>
      <c r="K20" s="125"/>
      <c r="L20" s="92"/>
    </row>
    <row r="21" spans="2:12" ht="27" customHeight="1" x14ac:dyDescent="0.3">
      <c r="B21" s="634"/>
      <c r="C21" s="634"/>
      <c r="D21" s="634"/>
      <c r="E21" s="632"/>
      <c r="G21" s="125"/>
      <c r="H21" s="125"/>
      <c r="I21" s="125"/>
      <c r="J21" s="125"/>
      <c r="K21" s="125"/>
      <c r="L21" s="92"/>
    </row>
    <row r="22" spans="2:12" ht="27" customHeight="1" x14ac:dyDescent="0.3">
      <c r="B22" s="634"/>
      <c r="C22" s="634"/>
      <c r="D22" s="634"/>
      <c r="E22" s="632"/>
      <c r="G22" s="125"/>
      <c r="H22" s="125"/>
      <c r="I22" s="125"/>
      <c r="J22" s="125"/>
      <c r="K22" s="125"/>
      <c r="L22" s="92"/>
    </row>
    <row r="23" spans="2:12" ht="27" customHeight="1" x14ac:dyDescent="0.3">
      <c r="B23" s="634"/>
      <c r="C23" s="634"/>
      <c r="D23" s="634"/>
      <c r="E23" s="632"/>
      <c r="G23" s="125"/>
      <c r="H23" s="125"/>
      <c r="I23" s="125"/>
      <c r="J23" s="125"/>
      <c r="K23" s="125"/>
      <c r="L23" s="92"/>
    </row>
    <row r="24" spans="2:12" ht="27" customHeight="1" x14ac:dyDescent="0.3">
      <c r="B24" s="634"/>
      <c r="C24" s="634"/>
      <c r="D24" s="634"/>
      <c r="E24" s="632"/>
      <c r="G24" s="125"/>
      <c r="H24" s="125"/>
      <c r="I24" s="125"/>
      <c r="J24" s="125"/>
      <c r="K24" s="125"/>
      <c r="L24" s="92"/>
    </row>
    <row r="25" spans="2:12" ht="27" customHeight="1" x14ac:dyDescent="0.3">
      <c r="B25" s="634"/>
      <c r="C25" s="634"/>
      <c r="D25" s="634"/>
      <c r="E25" s="632"/>
      <c r="G25" s="125"/>
      <c r="H25" s="125"/>
      <c r="I25" s="125"/>
      <c r="J25" s="125"/>
      <c r="K25" s="125"/>
      <c r="L25" s="92"/>
    </row>
    <row r="26" spans="2:12" ht="27" customHeight="1" x14ac:dyDescent="0.3">
      <c r="B26" s="634"/>
      <c r="C26" s="634"/>
      <c r="D26" s="634"/>
      <c r="E26" s="632"/>
      <c r="G26" s="125"/>
      <c r="H26" s="125"/>
      <c r="I26" s="125"/>
      <c r="J26" s="125"/>
      <c r="K26" s="125"/>
      <c r="L26" s="92"/>
    </row>
    <row r="27" spans="2:12" ht="27" customHeight="1" x14ac:dyDescent="0.3">
      <c r="B27" s="634"/>
      <c r="C27" s="634"/>
      <c r="D27" s="634"/>
      <c r="E27" s="632"/>
      <c r="G27" s="125"/>
      <c r="H27" s="125"/>
      <c r="I27" s="125"/>
      <c r="J27" s="125"/>
      <c r="K27" s="125"/>
      <c r="L27" s="92"/>
    </row>
    <row r="28" spans="2:12" ht="27" customHeight="1" x14ac:dyDescent="0.3">
      <c r="B28" s="634"/>
      <c r="C28" s="634"/>
      <c r="D28" s="634"/>
      <c r="E28" s="632"/>
      <c r="G28" s="125"/>
      <c r="H28" s="125"/>
      <c r="I28" s="125"/>
      <c r="J28" s="125"/>
      <c r="K28" s="125"/>
      <c r="L28" s="92"/>
    </row>
    <row r="29" spans="2:12" ht="27" customHeight="1" x14ac:dyDescent="0.3">
      <c r="B29" s="634"/>
      <c r="C29" s="634"/>
      <c r="D29" s="634"/>
      <c r="E29" s="632"/>
      <c r="G29" s="125"/>
      <c r="H29" s="125"/>
      <c r="I29" s="125"/>
      <c r="J29" s="125"/>
      <c r="K29" s="125"/>
      <c r="L29" s="92"/>
    </row>
    <row r="30" spans="2:12" ht="27" customHeight="1" x14ac:dyDescent="0.3">
      <c r="B30" s="634"/>
      <c r="C30" s="634"/>
      <c r="D30" s="634"/>
      <c r="E30" s="632"/>
      <c r="G30" s="125"/>
      <c r="H30" s="125"/>
      <c r="I30" s="125"/>
      <c r="J30" s="125"/>
      <c r="K30" s="125"/>
      <c r="L30" s="92"/>
    </row>
    <row r="31" spans="2:12" ht="27" customHeight="1" x14ac:dyDescent="0.3">
      <c r="B31" s="634"/>
      <c r="C31" s="634"/>
      <c r="D31" s="634"/>
      <c r="E31" s="632"/>
      <c r="G31" s="125"/>
      <c r="H31" s="125"/>
      <c r="I31" s="125"/>
      <c r="J31" s="125"/>
      <c r="K31" s="125"/>
      <c r="L31" s="92"/>
    </row>
    <row r="32" spans="2:12" ht="27" customHeight="1" x14ac:dyDescent="0.3">
      <c r="B32" s="634"/>
      <c r="C32" s="634"/>
      <c r="D32" s="634"/>
      <c r="E32" s="632"/>
      <c r="G32" s="125"/>
      <c r="H32" s="125"/>
      <c r="I32" s="125"/>
      <c r="J32" s="125"/>
      <c r="K32" s="125"/>
      <c r="L32" s="92"/>
    </row>
    <row r="33" spans="2:12" ht="27" customHeight="1" x14ac:dyDescent="0.3">
      <c r="B33" s="634"/>
      <c r="C33" s="634"/>
      <c r="D33" s="634"/>
      <c r="E33" s="632"/>
      <c r="G33" s="125"/>
      <c r="H33" s="125"/>
      <c r="I33" s="125"/>
      <c r="J33" s="125"/>
      <c r="K33" s="125"/>
      <c r="L33" s="92"/>
    </row>
    <row r="34" spans="2:12" ht="27" customHeight="1" x14ac:dyDescent="0.3">
      <c r="B34" s="634"/>
      <c r="C34" s="634"/>
      <c r="D34" s="634"/>
      <c r="E34" s="632"/>
      <c r="G34" s="125"/>
      <c r="H34" s="125"/>
      <c r="I34" s="125"/>
      <c r="J34" s="125"/>
      <c r="K34" s="125"/>
      <c r="L34" s="92"/>
    </row>
    <row r="35" spans="2:12" ht="27" customHeight="1" x14ac:dyDescent="0.3">
      <c r="B35" s="634"/>
      <c r="C35" s="634"/>
      <c r="D35" s="634"/>
      <c r="E35" s="632"/>
      <c r="G35" s="125"/>
      <c r="H35" s="125"/>
      <c r="I35" s="125"/>
      <c r="J35" s="125"/>
      <c r="K35" s="125"/>
      <c r="L35" s="92"/>
    </row>
    <row r="36" spans="2:12" ht="27" customHeight="1" x14ac:dyDescent="0.3">
      <c r="B36" s="634"/>
      <c r="C36" s="634"/>
      <c r="D36" s="634"/>
      <c r="E36" s="632"/>
      <c r="G36" s="125"/>
      <c r="H36" s="125"/>
      <c r="I36" s="125"/>
      <c r="J36" s="125"/>
      <c r="K36" s="125"/>
      <c r="L36" s="92"/>
    </row>
    <row r="37" spans="2:12" ht="27" customHeight="1" x14ac:dyDescent="0.3">
      <c r="B37" s="193"/>
      <c r="C37" s="193"/>
      <c r="D37" s="193"/>
      <c r="E37" s="635"/>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67" t="s">
        <v>490</v>
      </c>
      <c r="C2" s="186" t="s">
        <v>314</v>
      </c>
      <c r="D2" s="369" t="s">
        <v>491</v>
      </c>
      <c r="E2" s="83"/>
      <c r="F2" s="373" t="s">
        <v>477</v>
      </c>
      <c r="G2" s="361" t="s">
        <v>603</v>
      </c>
      <c r="H2" s="291" t="s">
        <v>492</v>
      </c>
      <c r="I2" s="83"/>
      <c r="J2" s="1091" t="s">
        <v>493</v>
      </c>
      <c r="K2" s="1092"/>
      <c r="L2" s="370">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1">
        <v>1995</v>
      </c>
      <c r="C3" s="371">
        <v>381.1</v>
      </c>
      <c r="D3" s="271" cm="1">
        <f t="array" aca="1" ref="D3" ca="1">INDIRECT(ADDRESS(MATCH('Plant Overview'!$E$8,'Cost Conversion'!$B$3:$B$48,0)+2,3))/C3</f>
        <v>1.6502230385725529</v>
      </c>
      <c r="E3" s="83"/>
      <c r="F3" s="185" t="s">
        <v>478</v>
      </c>
      <c r="G3" s="362">
        <v>1</v>
      </c>
      <c r="H3" s="271"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2" cm="1">
        <f t="array" aca="1" ref="D4" ca="1">INDIRECT(ADDRESS(MATCH('Plant Overview'!$E$8,'Cost Conversion'!$B$3:$B$48,0)+2,3))/C4</f>
        <v>1.6476290280324863</v>
      </c>
      <c r="E4" s="83"/>
      <c r="F4" s="163" t="s">
        <v>479</v>
      </c>
      <c r="G4" s="357">
        <v>0.95</v>
      </c>
      <c r="H4" s="272"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2" cm="1">
        <f t="array" aca="1" ref="D5" ca="1">INDIRECT(ADDRESS(MATCH('Plant Overview'!$E$8,'Cost Conversion'!$B$3:$B$48,0)+2,3))/C5</f>
        <v>1.6271668822768435</v>
      </c>
      <c r="E5" s="83"/>
      <c r="F5" s="163" t="s">
        <v>480</v>
      </c>
      <c r="G5" s="357">
        <v>1.1000000000000001</v>
      </c>
      <c r="H5" s="272"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2" cm="1">
        <f t="array" aca="1" ref="D6" ca="1">INDIRECT(ADDRESS(MATCH('Plant Overview'!$E$8,'Cost Conversion'!$B$3:$B$48,0)+2,3))/C6</f>
        <v>1.6146341463414633</v>
      </c>
      <c r="E6" s="83"/>
      <c r="F6" s="163" t="s">
        <v>481</v>
      </c>
      <c r="G6" s="357">
        <v>1.1499999999999999</v>
      </c>
      <c r="H6" s="272"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2" cm="1">
        <f t="array" aca="1" ref="D7" ca="1">INDIRECT(ADDRESS(MATCH('Plant Overview'!$E$8,'Cost Conversion'!$B$3:$B$48,0)+2,3))/C7</f>
        <v>1.6100870455709164</v>
      </c>
      <c r="E7" s="83"/>
      <c r="F7" s="163" t="s">
        <v>482</v>
      </c>
      <c r="G7" s="357">
        <v>1.25</v>
      </c>
      <c r="H7" s="272"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2" cm="1">
        <f t="array" aca="1" ref="D8" ca="1">INDIRECT(ADDRESS(MATCH('Plant Overview'!$E$8,'Cost Conversion'!$B$3:$B$48,0)+2,3))/C8</f>
        <v>1.5957878710987057</v>
      </c>
      <c r="E8" s="83"/>
      <c r="F8" s="163" t="s">
        <v>488</v>
      </c>
      <c r="G8" s="357">
        <v>1.2</v>
      </c>
      <c r="H8" s="272"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2" cm="1">
        <f t="array" aca="1" ref="D9" ca="1">INDIRECT(ADDRESS(MATCH('Plant Overview'!$E$8,'Cost Conversion'!$B$3:$B$48,0)+2,3))/C9</f>
        <v>1.5949784428100431</v>
      </c>
      <c r="E9" s="83"/>
      <c r="F9" s="163" t="s">
        <v>600</v>
      </c>
      <c r="G9" s="335">
        <v>0.9</v>
      </c>
      <c r="H9" s="272"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2" cm="1">
        <f t="array" aca="1" ref="D10" ca="1">INDIRECT(ADDRESS(MATCH('Plant Overview'!$E$8,'Cost Conversion'!$B$3:$B$48,0)+2,3))/C10</f>
        <v>1.5897371081900908</v>
      </c>
      <c r="E10" s="83"/>
      <c r="F10" s="163" t="s">
        <v>483</v>
      </c>
      <c r="G10" s="357">
        <v>0.95</v>
      </c>
      <c r="H10" s="272"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2" cm="1">
        <f t="array" aca="1" ref="D11" ca="1">INDIRECT(ADDRESS(MATCH('Plant Overview'!$E$8,'Cost Conversion'!$B$3:$B$48,0)+2,3))/C11</f>
        <v>1.5644278606965174</v>
      </c>
      <c r="E11" s="83"/>
      <c r="F11" s="163" t="s">
        <v>602</v>
      </c>
      <c r="G11" s="335">
        <v>0.95</v>
      </c>
      <c r="H11" s="272"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2" cm="1">
        <f t="array" aca="1" ref="D12" ca="1">INDIRECT(ADDRESS(MATCH('Plant Overview'!$E$8,'Cost Conversion'!$B$3:$B$48,0)+2,3))/C12</f>
        <v>1.4158036920306167</v>
      </c>
      <c r="E12" s="83"/>
      <c r="F12" s="163" t="s">
        <v>484</v>
      </c>
      <c r="G12" s="357">
        <v>1.1499999999999999</v>
      </c>
      <c r="H12" s="272"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2" cm="1">
        <f t="array" aca="1" ref="D13" ca="1">INDIRECT(ADDRESS(MATCH('Plant Overview'!$E$8,'Cost Conversion'!$B$3:$B$48,0)+2,3))/C13</f>
        <v>1.3432293891499358</v>
      </c>
      <c r="E13" s="83"/>
      <c r="F13" s="163" t="s">
        <v>601</v>
      </c>
      <c r="G13" s="335">
        <v>1.3</v>
      </c>
      <c r="H13" s="272"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2" cm="1">
        <f t="array" aca="1" ref="D14" ca="1">INDIRECT(ADDRESS(MATCH('Plant Overview'!$E$8,'Cost Conversion'!$B$3:$B$48,0)+2,3))/C14</f>
        <v>1.258807045636509</v>
      </c>
      <c r="E14" s="83"/>
      <c r="F14" s="163" t="s">
        <v>485</v>
      </c>
      <c r="G14" s="357">
        <v>0.85</v>
      </c>
      <c r="H14" s="272"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2" cm="1">
        <f t="array" aca="1" ref="D15" ca="1">INDIRECT(ADDRESS(MATCH('Plant Overview'!$E$8,'Cost Conversion'!$B$3:$B$48,0)+2,3))/C15</f>
        <v>1.1969927674153027</v>
      </c>
      <c r="E15" s="83"/>
      <c r="F15" s="163" t="s">
        <v>597</v>
      </c>
      <c r="G15" s="335">
        <v>0.75</v>
      </c>
      <c r="H15" s="272"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2" cm="1">
        <f t="array" aca="1" ref="D16" ca="1">INDIRECT(ADDRESS(MATCH('Plant Overview'!$E$8,'Cost Conversion'!$B$3:$B$48,0)+2,3))/C16</f>
        <v>1.0929787973583593</v>
      </c>
      <c r="E16" s="83"/>
      <c r="F16" s="163" t="s">
        <v>598</v>
      </c>
      <c r="G16" s="335">
        <v>0.85</v>
      </c>
      <c r="H16" s="272"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2" cm="1">
        <f t="array" aca="1" ref="D17" ca="1">INDIRECT(ADDRESS(MATCH('Plant Overview'!$E$8,'Cost Conversion'!$B$3:$B$48,0)+2,3))/C17</f>
        <v>1.2050201187967045</v>
      </c>
      <c r="E17" s="83"/>
      <c r="F17" s="163" t="s">
        <v>599</v>
      </c>
      <c r="G17" s="335">
        <v>0.9</v>
      </c>
      <c r="H17" s="272"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2" cm="1">
        <f t="array" aca="1" ref="D18" ca="1">INDIRECT(ADDRESS(MATCH('Plant Overview'!$E$8,'Cost Conversion'!$B$3:$B$48,0)+2,3))/C18</f>
        <v>1.1417937545388526</v>
      </c>
      <c r="E18" s="83"/>
      <c r="F18" s="163"/>
      <c r="G18" s="357">
        <v>1</v>
      </c>
      <c r="H18" s="272"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2" cm="1">
        <f t="array" aca="1" ref="D19" ca="1">INDIRECT(ADDRESS(MATCH('Plant Overview'!$E$8,'Cost Conversion'!$B$3:$B$48,0)+2,3))/C19</f>
        <v>1.0737578965340617</v>
      </c>
      <c r="E19" s="83"/>
      <c r="F19" s="163"/>
      <c r="G19" s="357">
        <v>1</v>
      </c>
      <c r="H19" s="272"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2" cm="1">
        <f t="array" aca="1" ref="D20" ca="1">INDIRECT(ADDRESS(MATCH('Plant Overview'!$E$8,'Cost Conversion'!$B$3:$B$48,0)+2,3))/C20</f>
        <v>1.0757783099555251</v>
      </c>
      <c r="E20" s="83"/>
      <c r="F20" s="163"/>
      <c r="G20" s="357">
        <v>1</v>
      </c>
      <c r="H20" s="272"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2" cm="1">
        <f t="array" aca="1" ref="D21" ca="1">INDIRECT(ADDRESS(MATCH('Plant Overview'!$E$8,'Cost Conversion'!$B$3:$B$48,0)+2,3))/C21</f>
        <v>1.1085845231799754</v>
      </c>
      <c r="E21" s="83"/>
      <c r="F21" s="163"/>
      <c r="G21" s="357">
        <v>1</v>
      </c>
      <c r="H21" s="272"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2" cm="1">
        <f t="array" aca="1" ref="D22" ca="1">INDIRECT(ADDRESS(MATCH('Plant Overview'!$E$8,'Cost Conversion'!$B$3:$B$48,0)+2,3))/C22</f>
        <v>1.0916507550772434</v>
      </c>
      <c r="E22" s="83"/>
      <c r="F22" s="196"/>
      <c r="G22" s="336">
        <v>1</v>
      </c>
      <c r="H22" s="273"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2"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2" cm="1">
        <f t="array" aca="1" ref="D24" ca="1">INDIRECT(ADDRESS(MATCH('Plant Overview'!$E$8,'Cost Conversion'!$B$3:$B$48,0)+2,3))/C24</f>
        <v>1.1603321033210332</v>
      </c>
      <c r="E24" s="83"/>
      <c r="G24" s="1093" t="s">
        <v>611</v>
      </c>
      <c r="H24" s="1093"/>
      <c r="I24" s="1093"/>
      <c r="J24" s="368" t="s">
        <v>610</v>
      </c>
      <c r="K24" s="338">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2" cm="1">
        <f t="array" aca="1" ref="D25" ca="1">INDIRECT(ADDRESS(MATCH('Plant Overview'!$E$8,'Cost Conversion'!$B$3:$B$48,0)+2,3))/C25</f>
        <v>1.108193832599119</v>
      </c>
      <c r="E25" s="83"/>
      <c r="F25" s="363" t="s">
        <v>477</v>
      </c>
      <c r="G25" s="363" t="s">
        <v>229</v>
      </c>
      <c r="H25" s="368"/>
      <c r="I25" s="364"/>
      <c r="J25" s="370" t="s">
        <v>626</v>
      </c>
      <c r="K25" s="364"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2" cm="1">
        <f t="array" aca="1" ref="D26" ca="1">INDIRECT(ADDRESS(MATCH('Plant Overview'!$E$8,'Cost Conversion'!$B$3:$B$48,0)+2,3))/C26</f>
        <v>1.0427789752943126</v>
      </c>
      <c r="E26" s="83"/>
      <c r="F26" s="365" t="s">
        <v>604</v>
      </c>
      <c r="G26" s="357">
        <v>1</v>
      </c>
      <c r="H26" s="243">
        <v>1</v>
      </c>
      <c r="I26" s="358">
        <v>1</v>
      </c>
      <c r="J26" s="274">
        <f t="shared" ref="J26:J38" si="0">H26*I26</f>
        <v>1</v>
      </c>
      <c r="K26" s="358">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2" cm="1">
        <f t="array" aca="1" ref="D27" ca="1">INDIRECT(ADDRESS(MATCH('Plant Overview'!$E$8,'Cost Conversion'!$B$3:$B$48,0)+2,3))/C27</f>
        <v>1.0352263374485597</v>
      </c>
      <c r="E27" s="83"/>
      <c r="F27" s="365" t="s">
        <v>605</v>
      </c>
      <c r="G27" s="357">
        <v>0.95</v>
      </c>
      <c r="H27" s="243">
        <v>1.19</v>
      </c>
      <c r="I27" s="358">
        <v>1.04</v>
      </c>
      <c r="J27" s="274">
        <f t="shared" si="0"/>
        <v>1.2376</v>
      </c>
      <c r="K27" s="358">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6">
        <v>628.9</v>
      </c>
      <c r="D28" s="272" cm="1">
        <f t="array" aca="1" ref="D28" ca="1">INDIRECT(ADDRESS(MATCH('Plant Overview'!$E$8,'Cost Conversion'!$B$3:$B$48,0)+2,3))/C28</f>
        <v>1</v>
      </c>
      <c r="E28" s="83"/>
      <c r="F28" s="365" t="s">
        <v>606</v>
      </c>
      <c r="G28" s="357">
        <v>1.01</v>
      </c>
      <c r="H28" s="243">
        <v>1.54</v>
      </c>
      <c r="I28" s="358">
        <v>1.87</v>
      </c>
      <c r="J28" s="274">
        <f t="shared" si="0"/>
        <v>2.8798000000000004</v>
      </c>
      <c r="K28" s="358">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6">
        <v>637.70000000000095</v>
      </c>
      <c r="D29" s="272" cm="1">
        <f t="array" aca="1" ref="D29" ca="1">INDIRECT(ADDRESS(MATCH('Plant Overview'!$E$8,'Cost Conversion'!$B$3:$B$48,0)+2,3))/C29</f>
        <v>0.9862004077152251</v>
      </c>
      <c r="E29" s="83"/>
      <c r="F29" s="365" t="s">
        <v>607</v>
      </c>
      <c r="G29" s="357">
        <v>1.1000000000000001</v>
      </c>
      <c r="H29" s="243">
        <v>1.4</v>
      </c>
      <c r="I29" s="358">
        <v>1.3</v>
      </c>
      <c r="J29" s="274">
        <f t="shared" si="0"/>
        <v>1.8199999999999998</v>
      </c>
      <c r="K29" s="358">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6">
        <v>646.50000000000102</v>
      </c>
      <c r="D30" s="272" cm="1">
        <f t="array" aca="1" ref="D30" ca="1">INDIRECT(ADDRESS(MATCH('Plant Overview'!$E$8,'Cost Conversion'!$B$3:$B$48,0)+2,3))/C30</f>
        <v>0.97277648878576795</v>
      </c>
      <c r="E30" s="83"/>
      <c r="F30" s="365" t="s">
        <v>597</v>
      </c>
      <c r="G30" s="357">
        <v>0.87</v>
      </c>
      <c r="H30" s="243">
        <v>2.86</v>
      </c>
      <c r="I30" s="358">
        <v>0.21</v>
      </c>
      <c r="J30" s="274">
        <f t="shared" si="0"/>
        <v>0.60059999999999991</v>
      </c>
      <c r="K30" s="358">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6">
        <v>655.30000000000098</v>
      </c>
      <c r="D31" s="272" cm="1">
        <f t="array" aca="1" ref="D31" ca="1">INDIRECT(ADDRESS(MATCH('Plant Overview'!$E$8,'Cost Conversion'!$B$3:$B$48,0)+2,3))/C31</f>
        <v>0.9597131084999222</v>
      </c>
      <c r="E31" s="83"/>
      <c r="F31" s="365" t="s">
        <v>600</v>
      </c>
      <c r="G31" s="357">
        <v>0.93</v>
      </c>
      <c r="H31" s="243">
        <v>1.6</v>
      </c>
      <c r="I31" s="358">
        <v>0.55000000000000004</v>
      </c>
      <c r="J31" s="274">
        <f t="shared" si="0"/>
        <v>0.88000000000000012</v>
      </c>
      <c r="K31" s="358">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6">
        <v>664.10000000000105</v>
      </c>
      <c r="D32" s="272" cm="1">
        <f t="array" aca="1" ref="D32" ca="1">INDIRECT(ADDRESS(MATCH('Plant Overview'!$E$8,'Cost Conversion'!$B$3:$B$48,0)+2,3))/C32</f>
        <v>0.94699593434723539</v>
      </c>
      <c r="E32" s="83"/>
      <c r="F32" s="365" t="s">
        <v>608</v>
      </c>
      <c r="G32" s="357">
        <v>1.01</v>
      </c>
      <c r="H32" s="243">
        <v>1.25</v>
      </c>
      <c r="I32" s="358">
        <v>1.36</v>
      </c>
      <c r="J32" s="274">
        <f t="shared" si="0"/>
        <v>1.7000000000000002</v>
      </c>
      <c r="K32" s="358">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6">
        <v>672.900000000001</v>
      </c>
      <c r="D33" s="272" cm="1">
        <f t="array" aca="1" ref="D33" ca="1">INDIRECT(ADDRESS(MATCH('Plant Overview'!$E$8,'Cost Conversion'!$B$3:$B$48,0)+2,3))/C33</f>
        <v>0.93461138356367812</v>
      </c>
      <c r="E33" s="83"/>
      <c r="F33" s="365" t="s">
        <v>485</v>
      </c>
      <c r="G33" s="357">
        <v>0.94</v>
      </c>
      <c r="H33" s="243">
        <v>3.03</v>
      </c>
      <c r="I33" s="358">
        <v>0.35</v>
      </c>
      <c r="J33" s="274">
        <f t="shared" si="0"/>
        <v>1.0604999999999998</v>
      </c>
      <c r="K33" s="358">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6">
        <v>681.70000000000095</v>
      </c>
      <c r="D34" s="272" cm="1">
        <f t="array" aca="1" ref="D34" ca="1">INDIRECT(ADDRESS(MATCH('Plant Overview'!$E$8,'Cost Conversion'!$B$3:$B$48,0)+2,3))/C34</f>
        <v>0.92254657473962021</v>
      </c>
      <c r="E34" s="83"/>
      <c r="F34" s="365" t="s">
        <v>484</v>
      </c>
      <c r="G34" s="357">
        <v>0.9</v>
      </c>
      <c r="H34" s="243">
        <v>1.22</v>
      </c>
      <c r="I34" s="358">
        <v>0.92</v>
      </c>
      <c r="J34" s="274">
        <f t="shared" si="0"/>
        <v>1.1224000000000001</v>
      </c>
      <c r="K34" s="358">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6">
        <v>690.50000000000102</v>
      </c>
      <c r="D35" s="272" cm="1">
        <f t="array" aca="1" ref="D35" ca="1">INDIRECT(ADDRESS(MATCH('Plant Overview'!$E$8,'Cost Conversion'!$B$3:$B$48,0)+2,3))/C35</f>
        <v>0.91078928312816665</v>
      </c>
      <c r="E35" s="83"/>
      <c r="F35" s="365" t="s">
        <v>599</v>
      </c>
      <c r="G35" s="357">
        <v>0.94</v>
      </c>
      <c r="H35" s="243">
        <v>2.2999999999999998</v>
      </c>
      <c r="I35" s="358">
        <v>0.32</v>
      </c>
      <c r="J35" s="274">
        <f t="shared" si="0"/>
        <v>0.73599999999999999</v>
      </c>
      <c r="K35" s="358">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6">
        <v>699.30000000000098</v>
      </c>
      <c r="D36" s="272" cm="1">
        <f t="array" aca="1" ref="D36" ca="1">INDIRECT(ADDRESS(MATCH('Plant Overview'!$E$8,'Cost Conversion'!$B$3:$B$48,0)+2,3))/C36</f>
        <v>0.89932789932789803</v>
      </c>
      <c r="E36" s="83"/>
      <c r="F36" s="365" t="s">
        <v>609</v>
      </c>
      <c r="G36" s="357">
        <v>1.05</v>
      </c>
      <c r="H36" s="243">
        <v>2.8</v>
      </c>
      <c r="I36" s="358">
        <v>0.95</v>
      </c>
      <c r="J36" s="274">
        <f t="shared" si="0"/>
        <v>2.6599999999999997</v>
      </c>
      <c r="K36" s="358">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6">
        <v>708.10000000000105</v>
      </c>
      <c r="D37" s="272" cm="1">
        <f t="array" aca="1" ref="D37" ca="1">INDIRECT(ADDRESS(MATCH('Plant Overview'!$E$8,'Cost Conversion'!$B$3:$B$48,0)+2,3))/C37</f>
        <v>0.88815139104646101</v>
      </c>
      <c r="E37" s="83"/>
      <c r="F37" s="365" t="s">
        <v>602</v>
      </c>
      <c r="G37" s="357">
        <v>1.01</v>
      </c>
      <c r="H37" s="243">
        <v>2</v>
      </c>
      <c r="I37" s="358">
        <v>0.38</v>
      </c>
      <c r="J37" s="274">
        <f t="shared" si="0"/>
        <v>0.76</v>
      </c>
      <c r="K37" s="358">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6">
        <v>716.900000000001</v>
      </c>
      <c r="D38" s="272" cm="1">
        <f t="array" aca="1" ref="D38" ca="1">INDIRECT(ADDRESS(MATCH('Plant Overview'!$E$8,'Cost Conversion'!$B$3:$B$48,0)+2,3))/C38</f>
        <v>0.87724926768028888</v>
      </c>
      <c r="E38" s="83"/>
      <c r="F38" s="366" t="s">
        <v>598</v>
      </c>
      <c r="G38" s="359">
        <v>0.93</v>
      </c>
      <c r="H38" s="333">
        <v>2.2200000000000002</v>
      </c>
      <c r="I38" s="360">
        <v>0.32</v>
      </c>
      <c r="J38" s="334">
        <f t="shared" si="0"/>
        <v>0.71040000000000003</v>
      </c>
      <c r="K38" s="360">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6">
        <v>725.70000000000095</v>
      </c>
      <c r="D39" s="272"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6">
        <v>734.50000000000102</v>
      </c>
      <c r="D40" s="272"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6">
        <v>743.30000000000098</v>
      </c>
      <c r="D41" s="272"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6">
        <v>752.10000000000105</v>
      </c>
      <c r="D42" s="272"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6">
        <v>760.90000000000202</v>
      </c>
      <c r="D43" s="272"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6">
        <v>769.70000000000198</v>
      </c>
      <c r="D44" s="272"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6">
        <v>778.50000000000205</v>
      </c>
      <c r="D45" s="272"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6">
        <v>787.300000000002</v>
      </c>
      <c r="D46" s="272"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6">
        <v>796.10000000000196</v>
      </c>
      <c r="D47" s="272"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2">
        <v>2040</v>
      </c>
      <c r="C48" s="327">
        <v>804.90000000000202</v>
      </c>
      <c r="D48" s="273"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094" t="s">
        <v>330</v>
      </c>
      <c r="C2" s="1095"/>
      <c r="D2" s="1095"/>
      <c r="E2" s="1095"/>
      <c r="F2" s="1096"/>
    </row>
    <row r="3" spans="2:11" x14ac:dyDescent="0.3">
      <c r="B3" s="97"/>
      <c r="J3" s="341"/>
      <c r="K3" s="86" t="s">
        <v>629</v>
      </c>
    </row>
    <row r="4" spans="2:11" x14ac:dyDescent="0.3">
      <c r="B4" s="97"/>
      <c r="J4" s="342"/>
      <c r="K4" s="86" t="s">
        <v>630</v>
      </c>
    </row>
    <row r="5" spans="2:11" ht="18" x14ac:dyDescent="0.3">
      <c r="B5" s="87" t="s">
        <v>342</v>
      </c>
      <c r="C5" s="130" t="s">
        <v>312</v>
      </c>
      <c r="D5" s="131" t="s">
        <v>350</v>
      </c>
      <c r="E5" s="131" t="s">
        <v>286</v>
      </c>
      <c r="F5" s="132" t="s">
        <v>376</v>
      </c>
      <c r="G5" s="133" t="s">
        <v>628</v>
      </c>
      <c r="H5" s="134" t="s">
        <v>627</v>
      </c>
    </row>
    <row r="6" spans="2:11" ht="15.6" x14ac:dyDescent="0.3">
      <c r="B6" s="1101">
        <v>1</v>
      </c>
      <c r="C6" s="1098" t="s">
        <v>313</v>
      </c>
      <c r="D6" s="135" t="s">
        <v>238</v>
      </c>
      <c r="E6" s="135"/>
      <c r="F6" s="136"/>
      <c r="G6" s="320"/>
      <c r="H6" s="324"/>
    </row>
    <row r="7" spans="2:11" ht="15.6" x14ac:dyDescent="0.3">
      <c r="B7" s="1102"/>
      <c r="C7" s="1099"/>
      <c r="D7" s="137"/>
      <c r="E7" s="137" t="s">
        <v>290</v>
      </c>
      <c r="F7" s="138" t="s">
        <v>288</v>
      </c>
      <c r="G7" s="316"/>
      <c r="H7" s="93"/>
    </row>
    <row r="8" spans="2:11" ht="15.6" x14ac:dyDescent="0.3">
      <c r="B8" s="1102"/>
      <c r="C8" s="1099"/>
      <c r="D8" s="137"/>
      <c r="E8" s="137"/>
      <c r="F8" s="138" t="s">
        <v>294</v>
      </c>
      <c r="G8" s="316"/>
      <c r="H8" s="100"/>
    </row>
    <row r="9" spans="2:11" ht="15.6" x14ac:dyDescent="0.3">
      <c r="B9" s="1102"/>
      <c r="C9" s="1099"/>
      <c r="D9" s="137"/>
      <c r="E9" s="137"/>
      <c r="F9" s="138" t="s">
        <v>287</v>
      </c>
      <c r="G9" s="316"/>
      <c r="H9" s="100"/>
    </row>
    <row r="10" spans="2:11" ht="15.6" x14ac:dyDescent="0.3">
      <c r="B10" s="1102"/>
      <c r="C10" s="1099"/>
      <c r="D10" s="137"/>
      <c r="E10" s="137"/>
      <c r="F10" s="138" t="s">
        <v>289</v>
      </c>
      <c r="G10" s="343"/>
      <c r="H10" s="100" t="s">
        <v>229</v>
      </c>
    </row>
    <row r="11" spans="2:11" ht="15.6" x14ac:dyDescent="0.3">
      <c r="B11" s="1102"/>
      <c r="C11" s="1099"/>
      <c r="D11" s="137"/>
      <c r="E11" s="137" t="s">
        <v>398</v>
      </c>
      <c r="F11" s="138"/>
      <c r="G11" s="316"/>
      <c r="H11" s="100"/>
    </row>
    <row r="12" spans="2:11" ht="15.6" x14ac:dyDescent="0.3">
      <c r="B12" s="1103"/>
      <c r="C12" s="1100"/>
      <c r="D12" s="139"/>
      <c r="E12" s="139" t="s">
        <v>291</v>
      </c>
      <c r="F12" s="145"/>
      <c r="G12" s="317"/>
      <c r="H12" s="325"/>
    </row>
    <row r="13" spans="2:11" ht="15.6" x14ac:dyDescent="0.3">
      <c r="B13" s="1102">
        <v>2</v>
      </c>
      <c r="C13" s="1098" t="s">
        <v>419</v>
      </c>
      <c r="D13" s="140" t="s">
        <v>285</v>
      </c>
      <c r="E13" s="140"/>
      <c r="F13" s="135" t="s">
        <v>295</v>
      </c>
      <c r="G13" s="321"/>
      <c r="H13" s="324"/>
    </row>
    <row r="14" spans="2:11" ht="15.6" x14ac:dyDescent="0.3">
      <c r="B14" s="1102"/>
      <c r="C14" s="1099"/>
      <c r="D14" s="141"/>
      <c r="E14" s="141" t="s">
        <v>292</v>
      </c>
      <c r="F14" s="137" t="s">
        <v>296</v>
      </c>
      <c r="G14" s="165"/>
      <c r="H14" s="100"/>
    </row>
    <row r="15" spans="2:11" ht="15.6" x14ac:dyDescent="0.3">
      <c r="B15" s="1102"/>
      <c r="C15" s="1099"/>
      <c r="D15" s="141"/>
      <c r="E15" s="141" t="s">
        <v>338</v>
      </c>
      <c r="F15" s="137" t="s">
        <v>323</v>
      </c>
      <c r="G15" s="344"/>
      <c r="H15" s="100"/>
    </row>
    <row r="16" spans="2:11" ht="15.6" x14ac:dyDescent="0.3">
      <c r="B16" s="1102"/>
      <c r="C16" s="1099"/>
      <c r="D16" s="141"/>
      <c r="E16" s="141" t="s">
        <v>293</v>
      </c>
      <c r="F16" s="137" t="s">
        <v>324</v>
      </c>
      <c r="G16" s="313"/>
      <c r="H16" s="100"/>
    </row>
    <row r="17" spans="2:8" ht="15.6" x14ac:dyDescent="0.3">
      <c r="B17" s="1102"/>
      <c r="C17" s="1099"/>
      <c r="D17" s="141"/>
      <c r="E17" s="141" t="s">
        <v>297</v>
      </c>
      <c r="F17" s="137" t="s">
        <v>336</v>
      </c>
      <c r="G17" s="313"/>
      <c r="H17" s="100"/>
    </row>
    <row r="18" spans="2:8" ht="15.6" x14ac:dyDescent="0.3">
      <c r="B18" s="1102"/>
      <c r="C18" s="1099"/>
      <c r="D18" s="141"/>
      <c r="E18" s="141" t="s">
        <v>335</v>
      </c>
      <c r="F18" s="137" t="s">
        <v>337</v>
      </c>
      <c r="G18" s="313"/>
      <c r="H18" s="100"/>
    </row>
    <row r="19" spans="2:8" ht="15.6" x14ac:dyDescent="0.3">
      <c r="B19" s="1102"/>
      <c r="C19" s="1099"/>
      <c r="D19" s="141"/>
      <c r="E19" s="141" t="s">
        <v>339</v>
      </c>
      <c r="F19" s="137" t="s">
        <v>345</v>
      </c>
      <c r="G19" s="313"/>
      <c r="H19" s="100"/>
    </row>
    <row r="20" spans="2:8" ht="15.6" x14ac:dyDescent="0.3">
      <c r="B20" s="1102"/>
      <c r="C20" s="1099"/>
      <c r="D20" s="141"/>
      <c r="E20" s="141"/>
      <c r="F20" s="137" t="s">
        <v>346</v>
      </c>
      <c r="G20" s="313"/>
      <c r="H20" s="100"/>
    </row>
    <row r="21" spans="2:8" ht="15.6" x14ac:dyDescent="0.3">
      <c r="B21" s="1102"/>
      <c r="C21" s="1099"/>
      <c r="D21" s="141"/>
      <c r="E21" s="141"/>
      <c r="F21" s="137" t="s">
        <v>347</v>
      </c>
      <c r="G21" s="313"/>
      <c r="H21" s="100"/>
    </row>
    <row r="22" spans="2:8" ht="15.6" x14ac:dyDescent="0.3">
      <c r="B22" s="1102"/>
      <c r="C22" s="1099"/>
      <c r="D22" s="141" t="s">
        <v>317</v>
      </c>
      <c r="E22" s="141"/>
      <c r="F22" s="137"/>
      <c r="G22" s="313"/>
      <c r="H22" s="100"/>
    </row>
    <row r="23" spans="2:8" ht="15.6" x14ac:dyDescent="0.3">
      <c r="B23" s="1102"/>
      <c r="C23" s="1099"/>
      <c r="D23" s="141"/>
      <c r="E23" s="141" t="s">
        <v>318</v>
      </c>
      <c r="F23" s="137"/>
      <c r="G23" s="313"/>
      <c r="H23" s="100"/>
    </row>
    <row r="24" spans="2:8" ht="15.6" x14ac:dyDescent="0.3">
      <c r="B24" s="1102"/>
      <c r="C24" s="1099"/>
      <c r="D24" s="141"/>
      <c r="E24" s="141" t="s">
        <v>319</v>
      </c>
      <c r="F24" s="137"/>
      <c r="G24" s="313"/>
      <c r="H24" s="100"/>
    </row>
    <row r="25" spans="2:8" ht="15.6" x14ac:dyDescent="0.3">
      <c r="B25" s="1102"/>
      <c r="C25" s="1099"/>
      <c r="D25" s="141"/>
      <c r="E25" s="141" t="s">
        <v>390</v>
      </c>
      <c r="F25" s="137" t="s">
        <v>391</v>
      </c>
      <c r="G25" s="313"/>
      <c r="H25" s="100"/>
    </row>
    <row r="26" spans="2:8" ht="15.6" x14ac:dyDescent="0.3">
      <c r="B26" s="1102"/>
      <c r="C26" s="1099"/>
      <c r="D26" s="141"/>
      <c r="E26" s="141"/>
      <c r="F26" s="137" t="s">
        <v>392</v>
      </c>
      <c r="G26" s="313"/>
      <c r="H26" s="100"/>
    </row>
    <row r="27" spans="2:8" ht="15.6" x14ac:dyDescent="0.3">
      <c r="B27" s="1103"/>
      <c r="C27" s="1100"/>
      <c r="D27" s="142"/>
      <c r="E27" s="142" t="s">
        <v>434</v>
      </c>
      <c r="F27" s="139"/>
      <c r="G27" s="318"/>
      <c r="H27" s="325"/>
    </row>
    <row r="28" spans="2:8" ht="15.6" x14ac:dyDescent="0.3">
      <c r="B28" s="1101">
        <v>3</v>
      </c>
      <c r="C28" s="947" t="s">
        <v>316</v>
      </c>
      <c r="D28" s="135" t="s">
        <v>40</v>
      </c>
      <c r="E28" s="135"/>
      <c r="F28" s="136"/>
      <c r="G28" s="320"/>
      <c r="H28" s="324"/>
    </row>
    <row r="29" spans="2:8" ht="15.6" x14ac:dyDescent="0.3">
      <c r="B29" s="1102"/>
      <c r="C29" s="1097"/>
      <c r="D29" s="137"/>
      <c r="E29" s="137" t="s">
        <v>298</v>
      </c>
      <c r="F29" s="138" t="s">
        <v>301</v>
      </c>
      <c r="G29" s="316"/>
      <c r="H29" s="100"/>
    </row>
    <row r="30" spans="2:8" ht="15.6" x14ac:dyDescent="0.3">
      <c r="B30" s="1102"/>
      <c r="C30" s="1097"/>
      <c r="D30" s="137"/>
      <c r="E30" s="137" t="s">
        <v>299</v>
      </c>
      <c r="F30" s="138" t="s">
        <v>302</v>
      </c>
      <c r="G30" s="316"/>
      <c r="H30" s="100"/>
    </row>
    <row r="31" spans="2:8" ht="15.6" x14ac:dyDescent="0.3">
      <c r="B31" s="1102"/>
      <c r="C31" s="1097"/>
      <c r="D31" s="137"/>
      <c r="E31" s="137" t="s">
        <v>300</v>
      </c>
      <c r="F31" s="138" t="s">
        <v>303</v>
      </c>
      <c r="G31" s="316"/>
      <c r="H31" s="100"/>
    </row>
    <row r="32" spans="2:8" ht="15.6" x14ac:dyDescent="0.3">
      <c r="B32" s="1102"/>
      <c r="C32" s="1097"/>
      <c r="D32" s="137"/>
      <c r="E32" s="137" t="s">
        <v>363</v>
      </c>
      <c r="F32" s="138"/>
      <c r="G32" s="316"/>
      <c r="H32" s="100"/>
    </row>
    <row r="33" spans="2:8" ht="15.6" x14ac:dyDescent="0.3">
      <c r="B33" s="1102"/>
      <c r="C33" s="1097"/>
      <c r="D33" s="137" t="s">
        <v>405</v>
      </c>
      <c r="E33" s="137" t="s">
        <v>41</v>
      </c>
      <c r="F33" s="138"/>
      <c r="G33" s="316"/>
      <c r="H33" s="100"/>
    </row>
    <row r="34" spans="2:8" ht="15.6" x14ac:dyDescent="0.3">
      <c r="B34" s="1102"/>
      <c r="C34" s="1097"/>
      <c r="D34" s="137"/>
      <c r="E34" s="137" t="s">
        <v>331</v>
      </c>
      <c r="F34" s="138" t="s">
        <v>410</v>
      </c>
      <c r="G34" s="316"/>
      <c r="H34" s="100"/>
    </row>
    <row r="35" spans="2:8" ht="15.6" x14ac:dyDescent="0.3">
      <c r="B35" s="1102"/>
      <c r="C35" s="1097"/>
      <c r="D35" s="137"/>
      <c r="E35" s="137"/>
      <c r="F35" s="138" t="s">
        <v>411</v>
      </c>
      <c r="G35" s="316"/>
      <c r="H35" s="100"/>
    </row>
    <row r="36" spans="2:8" ht="15.6" x14ac:dyDescent="0.3">
      <c r="B36" s="1102"/>
      <c r="C36" s="1097"/>
      <c r="D36" s="137"/>
      <c r="E36" s="137" t="s">
        <v>406</v>
      </c>
      <c r="F36" s="138" t="s">
        <v>409</v>
      </c>
      <c r="G36" s="316"/>
      <c r="H36" s="100"/>
    </row>
    <row r="37" spans="2:8" ht="15.6" x14ac:dyDescent="0.3">
      <c r="B37" s="1102"/>
      <c r="C37" s="1097"/>
      <c r="D37" s="137" t="s">
        <v>414</v>
      </c>
      <c r="E37" s="137" t="s">
        <v>332</v>
      </c>
      <c r="F37" s="138"/>
      <c r="G37" s="316"/>
      <c r="H37" s="100"/>
    </row>
    <row r="38" spans="2:8" ht="15.6" x14ac:dyDescent="0.3">
      <c r="B38" s="1102"/>
      <c r="C38" s="1097"/>
      <c r="D38" s="137"/>
      <c r="E38" s="137" t="s">
        <v>349</v>
      </c>
      <c r="F38" s="138"/>
      <c r="G38" s="316"/>
      <c r="H38" s="100"/>
    </row>
    <row r="39" spans="2:8" ht="15.6" x14ac:dyDescent="0.3">
      <c r="B39" s="1102"/>
      <c r="C39" s="1097"/>
      <c r="D39" s="137" t="s">
        <v>408</v>
      </c>
      <c r="E39" s="137" t="s">
        <v>436</v>
      </c>
      <c r="F39" s="138"/>
      <c r="G39" s="316"/>
      <c r="H39" s="100"/>
    </row>
    <row r="40" spans="2:8" ht="15.6" x14ac:dyDescent="0.3">
      <c r="B40" s="1102"/>
      <c r="C40" s="1097"/>
      <c r="D40" s="137" t="s">
        <v>437</v>
      </c>
      <c r="E40" s="137"/>
      <c r="F40" s="138"/>
      <c r="G40" s="316"/>
      <c r="H40" s="100"/>
    </row>
    <row r="41" spans="2:8" ht="15.6" x14ac:dyDescent="0.3">
      <c r="B41" s="1102"/>
      <c r="C41" s="1097"/>
      <c r="D41" s="137"/>
      <c r="E41" s="137" t="s">
        <v>404</v>
      </c>
      <c r="F41" s="138"/>
      <c r="G41" s="316"/>
      <c r="H41" s="100"/>
    </row>
    <row r="42" spans="2:8" ht="15.6" x14ac:dyDescent="0.3">
      <c r="B42" s="1102"/>
      <c r="C42" s="1097"/>
      <c r="D42" s="137"/>
      <c r="E42" s="137" t="s">
        <v>407</v>
      </c>
      <c r="F42" s="138"/>
      <c r="G42" s="316"/>
      <c r="H42" s="100"/>
    </row>
    <row r="43" spans="2:8" ht="15.6" x14ac:dyDescent="0.3">
      <c r="B43" s="1102"/>
      <c r="C43" s="1097"/>
      <c r="D43" s="137" t="s">
        <v>375</v>
      </c>
      <c r="E43" s="137"/>
      <c r="F43" s="138"/>
      <c r="G43" s="316"/>
      <c r="H43" s="100"/>
    </row>
    <row r="44" spans="2:8" ht="15.6" x14ac:dyDescent="0.3">
      <c r="B44" s="1102"/>
      <c r="C44" s="1097"/>
      <c r="D44" s="137" t="s">
        <v>402</v>
      </c>
      <c r="E44" s="137"/>
      <c r="F44" s="138"/>
      <c r="G44" s="316"/>
      <c r="H44" s="100"/>
    </row>
    <row r="45" spans="2:8" ht="15.6" x14ac:dyDescent="0.3">
      <c r="B45" s="1102"/>
      <c r="C45" s="1097"/>
      <c r="D45" s="137" t="s">
        <v>403</v>
      </c>
      <c r="E45" s="137"/>
      <c r="F45" s="138"/>
      <c r="G45" s="316"/>
      <c r="H45" s="100"/>
    </row>
    <row r="46" spans="2:8" ht="15.6" x14ac:dyDescent="0.3">
      <c r="B46" s="1102"/>
      <c r="C46" s="1097"/>
      <c r="D46" s="137"/>
      <c r="E46" s="137" t="s">
        <v>400</v>
      </c>
      <c r="F46" s="138"/>
      <c r="G46" s="316"/>
      <c r="H46" s="100"/>
    </row>
    <row r="47" spans="2:8" ht="15.6" x14ac:dyDescent="0.3">
      <c r="B47" s="1102"/>
      <c r="C47" s="1097"/>
      <c r="D47" s="137"/>
      <c r="E47" s="137" t="s">
        <v>412</v>
      </c>
      <c r="F47" s="138"/>
      <c r="G47" s="316"/>
      <c r="H47" s="100"/>
    </row>
    <row r="48" spans="2:8" ht="15.6" x14ac:dyDescent="0.3">
      <c r="B48" s="1102"/>
      <c r="C48" s="1097"/>
      <c r="D48" s="137" t="s">
        <v>355</v>
      </c>
      <c r="E48" s="137"/>
      <c r="F48" s="138"/>
      <c r="G48" s="316"/>
      <c r="H48" s="100"/>
    </row>
    <row r="49" spans="2:8" ht="15.6" x14ac:dyDescent="0.3">
      <c r="B49" s="1102"/>
      <c r="C49" s="1097"/>
      <c r="D49" s="143"/>
      <c r="E49" s="137" t="s">
        <v>413</v>
      </c>
      <c r="F49" s="138"/>
      <c r="G49" s="316"/>
      <c r="H49" s="100"/>
    </row>
    <row r="50" spans="2:8" ht="15.6" x14ac:dyDescent="0.3">
      <c r="B50" s="1102"/>
      <c r="C50" s="1097"/>
      <c r="D50" s="143"/>
      <c r="E50" s="137" t="s">
        <v>401</v>
      </c>
      <c r="F50" s="138"/>
      <c r="G50" s="316"/>
      <c r="H50" s="100"/>
    </row>
    <row r="51" spans="2:8" ht="15.6" x14ac:dyDescent="0.3">
      <c r="B51" s="1103"/>
      <c r="C51" s="948"/>
      <c r="D51" s="339"/>
      <c r="E51" s="139" t="s">
        <v>364</v>
      </c>
      <c r="F51" s="145"/>
      <c r="G51" s="317"/>
      <c r="H51" s="325"/>
    </row>
    <row r="52" spans="2:8" ht="15.6" x14ac:dyDescent="0.3">
      <c r="B52" s="1101">
        <v>4</v>
      </c>
      <c r="C52" s="1104" t="s">
        <v>435</v>
      </c>
      <c r="D52" s="135" t="s">
        <v>344</v>
      </c>
      <c r="E52" s="140"/>
      <c r="F52" s="135"/>
      <c r="G52" s="320"/>
      <c r="H52" s="324"/>
    </row>
    <row r="53" spans="2:8" ht="15.6" x14ac:dyDescent="0.3">
      <c r="B53" s="1102"/>
      <c r="C53" s="1105"/>
      <c r="D53" s="137"/>
      <c r="E53" s="141" t="s">
        <v>307</v>
      </c>
      <c r="F53" s="137" t="s">
        <v>304</v>
      </c>
      <c r="G53" s="316"/>
      <c r="H53" s="100"/>
    </row>
    <row r="54" spans="2:8" ht="15.6" x14ac:dyDescent="0.3">
      <c r="B54" s="1102"/>
      <c r="C54" s="1105"/>
      <c r="D54" s="137"/>
      <c r="E54" s="141" t="s">
        <v>306</v>
      </c>
      <c r="F54" s="137" t="s">
        <v>305</v>
      </c>
      <c r="G54" s="316"/>
      <c r="H54" s="100"/>
    </row>
    <row r="55" spans="2:8" ht="15.6" x14ac:dyDescent="0.3">
      <c r="B55" s="1102"/>
      <c r="C55" s="1105"/>
      <c r="D55" s="137"/>
      <c r="E55" s="141" t="s">
        <v>429</v>
      </c>
      <c r="F55" s="137"/>
      <c r="G55" s="316"/>
      <c r="H55" s="100"/>
    </row>
    <row r="56" spans="2:8" ht="15.6" x14ac:dyDescent="0.3">
      <c r="B56" s="1102"/>
      <c r="C56" s="1105"/>
      <c r="D56" s="137" t="s">
        <v>343</v>
      </c>
      <c r="E56" s="141"/>
      <c r="F56" s="137"/>
      <c r="G56" s="316"/>
      <c r="H56" s="100"/>
    </row>
    <row r="57" spans="2:8" ht="15.6" x14ac:dyDescent="0.3">
      <c r="B57" s="1102"/>
      <c r="C57" s="1105"/>
      <c r="D57" s="137"/>
      <c r="E57" s="141" t="s">
        <v>307</v>
      </c>
      <c r="F57" s="137"/>
      <c r="G57" s="316"/>
      <c r="H57" s="100"/>
    </row>
    <row r="58" spans="2:8" ht="15.6" x14ac:dyDescent="0.3">
      <c r="B58" s="1102"/>
      <c r="C58" s="1105"/>
      <c r="D58" s="137" t="s">
        <v>430</v>
      </c>
      <c r="E58" s="340"/>
      <c r="F58" s="137"/>
      <c r="G58" s="316"/>
      <c r="H58" s="100"/>
    </row>
    <row r="59" spans="2:8" ht="15.6" x14ac:dyDescent="0.3">
      <c r="B59" s="1102"/>
      <c r="C59" s="1105"/>
      <c r="D59" s="137"/>
      <c r="E59" s="141" t="s">
        <v>423</v>
      </c>
      <c r="F59" s="137" t="s">
        <v>427</v>
      </c>
      <c r="G59" s="316"/>
      <c r="H59" s="100"/>
    </row>
    <row r="60" spans="2:8" ht="15.6" x14ac:dyDescent="0.3">
      <c r="B60" s="1102"/>
      <c r="C60" s="1105"/>
      <c r="D60" s="137"/>
      <c r="E60" s="141" t="s">
        <v>425</v>
      </c>
      <c r="F60" s="137" t="s">
        <v>200</v>
      </c>
      <c r="G60" s="316"/>
      <c r="H60" s="100"/>
    </row>
    <row r="61" spans="2:8" ht="15.6" x14ac:dyDescent="0.3">
      <c r="B61" s="1102"/>
      <c r="C61" s="1105"/>
      <c r="D61" s="137"/>
      <c r="E61" s="141" t="s">
        <v>424</v>
      </c>
      <c r="F61" s="137" t="s">
        <v>428</v>
      </c>
      <c r="G61" s="316"/>
      <c r="H61" s="100"/>
    </row>
    <row r="62" spans="2:8" ht="15.6" x14ac:dyDescent="0.3">
      <c r="B62" s="1102"/>
      <c r="C62" s="1105"/>
      <c r="D62" s="137" t="s">
        <v>631</v>
      </c>
      <c r="E62" s="141"/>
      <c r="F62" s="137"/>
      <c r="G62" s="316"/>
      <c r="H62" s="100"/>
    </row>
    <row r="63" spans="2:8" ht="15.6" x14ac:dyDescent="0.3">
      <c r="B63" s="1103"/>
      <c r="C63" s="1106"/>
      <c r="D63" s="139"/>
      <c r="E63" s="142"/>
      <c r="F63" s="139"/>
      <c r="G63" s="317"/>
      <c r="H63" s="325"/>
    </row>
    <row r="64" spans="2:8" ht="15.6" x14ac:dyDescent="0.3">
      <c r="B64" s="1101">
        <v>5</v>
      </c>
      <c r="C64" s="1098" t="s">
        <v>420</v>
      </c>
      <c r="D64" s="135" t="s">
        <v>328</v>
      </c>
      <c r="E64" s="135"/>
      <c r="F64" s="136"/>
      <c r="G64" s="320"/>
      <c r="H64" s="324"/>
    </row>
    <row r="65" spans="2:8" ht="15.6" x14ac:dyDescent="0.3">
      <c r="B65" s="1102"/>
      <c r="C65" s="1099"/>
      <c r="D65" s="137"/>
      <c r="E65" s="137" t="s">
        <v>308</v>
      </c>
      <c r="F65" s="138" t="s">
        <v>305</v>
      </c>
      <c r="G65" s="316"/>
      <c r="H65" s="100"/>
    </row>
    <row r="66" spans="2:8" ht="15.6" x14ac:dyDescent="0.3">
      <c r="B66" s="1102"/>
      <c r="C66" s="1099"/>
      <c r="D66" s="137"/>
      <c r="E66" s="137"/>
      <c r="F66" s="138" t="s">
        <v>310</v>
      </c>
      <c r="G66" s="316"/>
      <c r="H66" s="100"/>
    </row>
    <row r="67" spans="2:8" ht="15.6" x14ac:dyDescent="0.3">
      <c r="B67" s="1102"/>
      <c r="C67" s="1099"/>
      <c r="D67" s="137"/>
      <c r="E67" s="137" t="s">
        <v>309</v>
      </c>
      <c r="F67" s="143" t="s">
        <v>311</v>
      </c>
      <c r="G67" s="316"/>
      <c r="H67" s="100"/>
    </row>
    <row r="68" spans="2:8" ht="15.6" x14ac:dyDescent="0.3">
      <c r="B68" s="1102"/>
      <c r="C68" s="1099"/>
      <c r="D68" s="137"/>
      <c r="E68" s="137"/>
      <c r="F68" s="138" t="s">
        <v>260</v>
      </c>
      <c r="G68" s="316"/>
      <c r="H68" s="100"/>
    </row>
    <row r="69" spans="2:8" ht="15.6" x14ac:dyDescent="0.3">
      <c r="B69" s="1102"/>
      <c r="C69" s="1099"/>
      <c r="D69" s="137"/>
      <c r="E69" s="137" t="s">
        <v>334</v>
      </c>
      <c r="F69" s="138"/>
      <c r="G69" s="316"/>
      <c r="H69" s="100"/>
    </row>
    <row r="70" spans="2:8" ht="15.6" x14ac:dyDescent="0.3">
      <c r="B70" s="1102"/>
      <c r="C70" s="1099"/>
      <c r="D70" s="137" t="s">
        <v>418</v>
      </c>
      <c r="E70" s="137"/>
      <c r="F70" s="138"/>
      <c r="G70" s="316"/>
      <c r="H70" s="100"/>
    </row>
    <row r="71" spans="2:8" ht="15.6" x14ac:dyDescent="0.3">
      <c r="B71" s="1102"/>
      <c r="C71" s="1099"/>
      <c r="D71" s="137"/>
      <c r="E71" s="137" t="s">
        <v>291</v>
      </c>
      <c r="F71" s="138"/>
      <c r="G71" s="316"/>
      <c r="H71" s="100"/>
    </row>
    <row r="72" spans="2:8" ht="15.6" x14ac:dyDescent="0.3">
      <c r="B72" s="1102"/>
      <c r="C72" s="1099"/>
      <c r="D72" s="137" t="s">
        <v>393</v>
      </c>
      <c r="E72" s="137"/>
      <c r="F72" s="138"/>
      <c r="G72" s="316"/>
      <c r="H72" s="100"/>
    </row>
    <row r="73" spans="2:8" ht="15.6" x14ac:dyDescent="0.3">
      <c r="B73" s="1102"/>
      <c r="C73" s="1099"/>
      <c r="D73" s="137"/>
      <c r="E73" s="137" t="s">
        <v>394</v>
      </c>
      <c r="F73" s="138" t="s">
        <v>391</v>
      </c>
      <c r="G73" s="316"/>
      <c r="H73" s="100"/>
    </row>
    <row r="74" spans="2:8" ht="15.6" x14ac:dyDescent="0.3">
      <c r="B74" s="1102"/>
      <c r="C74" s="1099"/>
      <c r="D74" s="137"/>
      <c r="E74" s="137" t="s">
        <v>395</v>
      </c>
      <c r="F74" s="138" t="s">
        <v>396</v>
      </c>
      <c r="G74" s="316"/>
      <c r="H74" s="100"/>
    </row>
    <row r="75" spans="2:8" ht="15.6" x14ac:dyDescent="0.3">
      <c r="B75" s="1102"/>
      <c r="C75" s="1099"/>
      <c r="D75" s="137" t="s">
        <v>426</v>
      </c>
      <c r="E75" s="137"/>
      <c r="F75" s="138"/>
      <c r="G75" s="316"/>
      <c r="H75" s="100"/>
    </row>
    <row r="76" spans="2:8" ht="15.6" x14ac:dyDescent="0.3">
      <c r="B76" s="1102"/>
      <c r="C76" s="1099"/>
      <c r="D76" s="137"/>
      <c r="E76" s="137" t="s">
        <v>421</v>
      </c>
      <c r="F76" s="138"/>
      <c r="G76" s="316"/>
      <c r="H76" s="100"/>
    </row>
    <row r="77" spans="2:8" ht="15.6" x14ac:dyDescent="0.3">
      <c r="B77" s="1102"/>
      <c r="C77" s="1099"/>
      <c r="D77" s="137"/>
      <c r="E77" s="144"/>
      <c r="F77" s="138" t="s">
        <v>333</v>
      </c>
      <c r="G77" s="316"/>
      <c r="H77" s="100"/>
    </row>
    <row r="78" spans="2:8" ht="15.6" x14ac:dyDescent="0.3">
      <c r="B78" s="1102"/>
      <c r="C78" s="1099"/>
      <c r="D78" s="137"/>
      <c r="E78" s="144"/>
      <c r="F78" s="138" t="s">
        <v>433</v>
      </c>
      <c r="G78" s="316"/>
      <c r="H78" s="100"/>
    </row>
    <row r="79" spans="2:8" ht="15.6" x14ac:dyDescent="0.3">
      <c r="B79" s="1102"/>
      <c r="C79" s="1099"/>
      <c r="D79" s="137"/>
      <c r="E79" s="137" t="s">
        <v>422</v>
      </c>
      <c r="F79" s="138"/>
      <c r="G79" s="316"/>
      <c r="H79" s="100"/>
    </row>
    <row r="80" spans="2:8" ht="15.6" x14ac:dyDescent="0.3">
      <c r="B80" s="1102"/>
      <c r="C80" s="1099"/>
      <c r="D80" s="137"/>
      <c r="E80" s="137"/>
      <c r="F80" s="138"/>
      <c r="G80" s="316"/>
      <c r="H80" s="100"/>
    </row>
    <row r="81" spans="2:8" ht="15.6" x14ac:dyDescent="0.3">
      <c r="B81" s="1102"/>
      <c r="C81" s="1099"/>
      <c r="D81" s="137"/>
      <c r="E81" s="137"/>
      <c r="F81" s="138"/>
      <c r="G81" s="316"/>
      <c r="H81" s="100"/>
    </row>
    <row r="82" spans="2:8" ht="15.6" x14ac:dyDescent="0.3">
      <c r="B82" s="1102"/>
      <c r="C82" s="1099"/>
      <c r="D82" s="137"/>
      <c r="E82" s="137"/>
      <c r="F82" s="138"/>
      <c r="G82" s="316"/>
      <c r="H82" s="100"/>
    </row>
    <row r="83" spans="2:8" ht="15.6" x14ac:dyDescent="0.3">
      <c r="B83" s="1103"/>
      <c r="C83" s="1100"/>
      <c r="D83" s="139"/>
      <c r="E83" s="139"/>
      <c r="F83" s="145"/>
      <c r="G83" s="317"/>
      <c r="H83" s="325"/>
    </row>
    <row r="84" spans="2:8" ht="15.6" x14ac:dyDescent="0.3">
      <c r="B84" s="1101">
        <v>6</v>
      </c>
      <c r="C84" s="947" t="s">
        <v>431</v>
      </c>
      <c r="D84" s="135" t="s">
        <v>326</v>
      </c>
      <c r="E84" s="135"/>
      <c r="F84" s="136"/>
      <c r="G84" s="320"/>
      <c r="H84" s="324"/>
    </row>
    <row r="85" spans="2:8" ht="15.6" x14ac:dyDescent="0.3">
      <c r="B85" s="1102"/>
      <c r="C85" s="1097"/>
      <c r="D85" s="137"/>
      <c r="E85" s="137" t="s">
        <v>320</v>
      </c>
      <c r="F85" s="138" t="s">
        <v>321</v>
      </c>
      <c r="G85" s="316"/>
      <c r="H85" s="100"/>
    </row>
    <row r="86" spans="2:8" ht="15.6" x14ac:dyDescent="0.3">
      <c r="B86" s="1102"/>
      <c r="C86" s="1097"/>
      <c r="D86" s="137"/>
      <c r="E86" s="137"/>
      <c r="F86" s="138" t="s">
        <v>325</v>
      </c>
      <c r="G86" s="316"/>
      <c r="H86" s="100"/>
    </row>
    <row r="87" spans="2:8" ht="15.6" x14ac:dyDescent="0.3">
      <c r="B87" s="1102"/>
      <c r="C87" s="1097"/>
      <c r="D87" s="137" t="s">
        <v>327</v>
      </c>
      <c r="E87" s="137"/>
      <c r="F87" s="138"/>
      <c r="G87" s="316"/>
      <c r="H87" s="100"/>
    </row>
    <row r="88" spans="2:8" ht="15.6" x14ac:dyDescent="0.3">
      <c r="B88" s="1102"/>
      <c r="C88" s="1097"/>
      <c r="D88" s="137"/>
      <c r="E88" s="137" t="s">
        <v>322</v>
      </c>
      <c r="F88" s="138"/>
      <c r="G88" s="316"/>
      <c r="H88" s="100"/>
    </row>
    <row r="89" spans="2:8" ht="15.6" x14ac:dyDescent="0.3">
      <c r="B89" s="1102"/>
      <c r="C89" s="1097"/>
      <c r="D89" s="137"/>
      <c r="E89" s="137" t="s">
        <v>329</v>
      </c>
      <c r="F89" s="138"/>
      <c r="G89" s="316"/>
      <c r="H89" s="100"/>
    </row>
    <row r="90" spans="2:8" ht="15.6" x14ac:dyDescent="0.3">
      <c r="B90" s="1102"/>
      <c r="C90" s="1097"/>
      <c r="D90" s="137"/>
      <c r="E90" s="137" t="s">
        <v>389</v>
      </c>
      <c r="F90" s="138"/>
      <c r="G90" s="316"/>
      <c r="H90" s="100"/>
    </row>
    <row r="91" spans="2:8" ht="15.6" x14ac:dyDescent="0.3">
      <c r="B91" s="1102"/>
      <c r="C91" s="1097"/>
      <c r="D91" s="137"/>
      <c r="E91" s="137"/>
      <c r="F91" s="138" t="s">
        <v>432</v>
      </c>
      <c r="G91" s="316"/>
      <c r="H91" s="100"/>
    </row>
    <row r="92" spans="2:8" ht="15.6" x14ac:dyDescent="0.3">
      <c r="B92" s="1102"/>
      <c r="C92" s="1097"/>
      <c r="D92" s="137" t="s">
        <v>361</v>
      </c>
      <c r="E92" s="137"/>
      <c r="F92" s="138"/>
      <c r="G92" s="316"/>
      <c r="H92" s="100"/>
    </row>
    <row r="93" spans="2:8" ht="15.6" x14ac:dyDescent="0.3">
      <c r="B93" s="1102"/>
      <c r="C93" s="1097"/>
      <c r="D93" s="137"/>
      <c r="E93" s="137" t="s">
        <v>362</v>
      </c>
      <c r="F93" s="138" t="s">
        <v>366</v>
      </c>
      <c r="G93" s="316"/>
      <c r="H93" s="100"/>
    </row>
    <row r="94" spans="2:8" ht="15.6" x14ac:dyDescent="0.3">
      <c r="B94" s="1102"/>
      <c r="C94" s="1097"/>
      <c r="D94" s="137"/>
      <c r="E94" s="137"/>
      <c r="F94" s="138" t="s">
        <v>367</v>
      </c>
      <c r="G94" s="316"/>
      <c r="H94" s="100"/>
    </row>
    <row r="95" spans="2:8" ht="15.6" x14ac:dyDescent="0.3">
      <c r="B95" s="1102"/>
      <c r="C95" s="1097"/>
      <c r="D95" s="137" t="s">
        <v>368</v>
      </c>
      <c r="E95" s="137"/>
      <c r="F95" s="138"/>
      <c r="G95" s="316"/>
      <c r="H95" s="100"/>
    </row>
    <row r="96" spans="2:8" ht="15.6" x14ac:dyDescent="0.3">
      <c r="B96" s="1102"/>
      <c r="C96" s="1097"/>
      <c r="D96" s="137"/>
      <c r="E96" s="137" t="s">
        <v>369</v>
      </c>
      <c r="F96" s="138" t="s">
        <v>371</v>
      </c>
      <c r="G96" s="316"/>
      <c r="H96" s="100"/>
    </row>
    <row r="97" spans="2:8" ht="15.6" x14ac:dyDescent="0.3">
      <c r="B97" s="1102"/>
      <c r="C97" s="1097"/>
      <c r="D97" s="137"/>
      <c r="E97" s="137" t="s">
        <v>370</v>
      </c>
      <c r="F97" s="138" t="s">
        <v>372</v>
      </c>
      <c r="G97" s="316"/>
      <c r="H97" s="100"/>
    </row>
    <row r="98" spans="2:8" ht="15.6" x14ac:dyDescent="0.3">
      <c r="B98" s="1102"/>
      <c r="C98" s="1097"/>
      <c r="D98" s="137"/>
      <c r="E98" s="137"/>
      <c r="F98" s="138" t="s">
        <v>373</v>
      </c>
      <c r="G98" s="316"/>
      <c r="H98" s="100"/>
    </row>
    <row r="99" spans="2:8" ht="15.6" x14ac:dyDescent="0.3">
      <c r="B99" s="1103"/>
      <c r="C99" s="948"/>
      <c r="D99" s="139"/>
      <c r="E99" s="139" t="s">
        <v>374</v>
      </c>
      <c r="F99" s="145"/>
      <c r="G99" s="317"/>
      <c r="H99" s="325"/>
    </row>
    <row r="100" spans="2:8" ht="15.6" x14ac:dyDescent="0.3">
      <c r="B100" s="900">
        <v>7</v>
      </c>
      <c r="C100" s="1097" t="s">
        <v>415</v>
      </c>
      <c r="D100" s="137"/>
      <c r="E100" s="137"/>
      <c r="F100" s="138"/>
      <c r="G100" s="316"/>
      <c r="H100" s="100"/>
    </row>
    <row r="101" spans="2:8" ht="15.6" x14ac:dyDescent="0.3">
      <c r="B101" s="1073"/>
      <c r="C101" s="1097"/>
      <c r="D101" s="137" t="s">
        <v>377</v>
      </c>
      <c r="E101" s="146" t="s">
        <v>378</v>
      </c>
      <c r="F101" s="138"/>
      <c r="G101" s="316"/>
      <c r="H101" s="100"/>
    </row>
    <row r="102" spans="2:8" ht="15.6" x14ac:dyDescent="0.3">
      <c r="B102" s="1073"/>
      <c r="C102" s="1097"/>
      <c r="D102" s="137"/>
      <c r="E102" s="137" t="s">
        <v>397</v>
      </c>
      <c r="F102" s="138" t="s">
        <v>381</v>
      </c>
      <c r="G102" s="316"/>
      <c r="H102" s="100"/>
    </row>
    <row r="103" spans="2:8" ht="15.6" x14ac:dyDescent="0.3">
      <c r="B103" s="1073"/>
      <c r="C103" s="1097"/>
      <c r="D103" s="137" t="s">
        <v>382</v>
      </c>
      <c r="E103" s="137"/>
      <c r="F103" s="138"/>
      <c r="G103" s="316"/>
      <c r="H103" s="100"/>
    </row>
    <row r="104" spans="2:8" ht="15.6" x14ac:dyDescent="0.3">
      <c r="B104" s="1073"/>
      <c r="C104" s="1097"/>
      <c r="D104" s="137"/>
      <c r="E104" s="146" t="s">
        <v>379</v>
      </c>
      <c r="F104" s="138" t="s">
        <v>416</v>
      </c>
      <c r="G104" s="316"/>
      <c r="H104" s="100"/>
    </row>
    <row r="105" spans="2:8" ht="15.6" x14ac:dyDescent="0.3">
      <c r="B105" s="1073"/>
      <c r="C105" s="1097"/>
      <c r="D105" s="137"/>
      <c r="E105" s="137" t="s">
        <v>383</v>
      </c>
      <c r="F105" s="138" t="s">
        <v>417</v>
      </c>
      <c r="G105" s="316"/>
      <c r="H105" s="100"/>
    </row>
    <row r="106" spans="2:8" ht="15.6" x14ac:dyDescent="0.3">
      <c r="B106" s="1073"/>
      <c r="C106" s="1097"/>
      <c r="D106" s="137"/>
      <c r="E106" s="137" t="s">
        <v>365</v>
      </c>
      <c r="F106" s="138"/>
      <c r="G106" s="316"/>
      <c r="H106" s="100"/>
    </row>
    <row r="107" spans="2:8" ht="15.6" x14ac:dyDescent="0.3">
      <c r="B107" s="1073"/>
      <c r="C107" s="1097"/>
      <c r="D107" s="137" t="s">
        <v>380</v>
      </c>
      <c r="E107" s="137"/>
      <c r="F107" s="138"/>
      <c r="G107" s="316"/>
      <c r="H107" s="100"/>
    </row>
    <row r="108" spans="2:8" ht="15.6" x14ac:dyDescent="0.3">
      <c r="B108" s="1073"/>
      <c r="C108" s="1097"/>
      <c r="D108" s="137"/>
      <c r="E108" s="137" t="s">
        <v>387</v>
      </c>
      <c r="F108" s="138"/>
      <c r="G108" s="316"/>
      <c r="H108" s="100"/>
    </row>
    <row r="109" spans="2:8" ht="15.6" x14ac:dyDescent="0.3">
      <c r="B109" s="1073"/>
      <c r="C109" s="1097"/>
      <c r="D109" s="137"/>
      <c r="E109" s="137" t="s">
        <v>399</v>
      </c>
      <c r="F109" s="138"/>
      <c r="G109" s="316"/>
      <c r="H109" s="100"/>
    </row>
    <row r="110" spans="2:8" ht="15.6" x14ac:dyDescent="0.3">
      <c r="B110" s="1073"/>
      <c r="C110" s="1097"/>
      <c r="D110" s="137" t="s">
        <v>385</v>
      </c>
      <c r="E110" s="144"/>
      <c r="F110" s="138"/>
      <c r="G110" s="316"/>
      <c r="H110" s="100"/>
    </row>
    <row r="111" spans="2:8" ht="15.6" x14ac:dyDescent="0.3">
      <c r="B111" s="1073"/>
      <c r="C111" s="1097"/>
      <c r="D111" s="137"/>
      <c r="E111" s="137" t="s">
        <v>384</v>
      </c>
      <c r="F111" s="138"/>
      <c r="G111" s="316"/>
      <c r="H111" s="100"/>
    </row>
    <row r="112" spans="2:8" ht="15.6" x14ac:dyDescent="0.3">
      <c r="B112" s="1073"/>
      <c r="C112" s="1097"/>
      <c r="D112" s="137"/>
      <c r="E112" s="137" t="s">
        <v>386</v>
      </c>
      <c r="F112" s="138"/>
      <c r="G112" s="316"/>
      <c r="H112" s="100"/>
    </row>
    <row r="113" spans="2:8" ht="15.6" x14ac:dyDescent="0.3">
      <c r="B113" s="903"/>
      <c r="C113" s="948"/>
      <c r="D113" s="139"/>
      <c r="E113" s="139" t="s">
        <v>388</v>
      </c>
      <c r="F113" s="145"/>
      <c r="G113" s="317"/>
      <c r="H113" s="325"/>
    </row>
    <row r="117" spans="2:8" x14ac:dyDescent="0.3">
      <c r="C117" t="s">
        <v>312</v>
      </c>
      <c r="D117" t="s">
        <v>464</v>
      </c>
      <c r="E117" s="251" t="s">
        <v>477</v>
      </c>
      <c r="F117" s="337" t="s">
        <v>315</v>
      </c>
      <c r="G117" s="249" t="s">
        <v>637</v>
      </c>
      <c r="H117" s="249" t="s">
        <v>638</v>
      </c>
    </row>
    <row r="118" spans="2:8" x14ac:dyDescent="0.3">
      <c r="C118" s="249" t="str">
        <f>+C6</f>
        <v>Oxidant Stream</v>
      </c>
      <c r="D118" s="249" t="s">
        <v>487</v>
      </c>
      <c r="E118" s="165" t="s">
        <v>478</v>
      </c>
      <c r="F118" s="323">
        <v>1995</v>
      </c>
      <c r="G118" s="249">
        <v>1</v>
      </c>
      <c r="H118" s="249">
        <v>1</v>
      </c>
    </row>
    <row r="119" spans="2:8" x14ac:dyDescent="0.3">
      <c r="C119" s="249" t="str">
        <f>+C13</f>
        <v>Primary Conversion</v>
      </c>
      <c r="D119" s="252" t="s">
        <v>456</v>
      </c>
      <c r="E119" s="165" t="s">
        <v>479</v>
      </c>
      <c r="F119" s="116">
        <v>1996</v>
      </c>
      <c r="G119" s="249">
        <v>2</v>
      </c>
      <c r="H119" s="249">
        <v>2</v>
      </c>
    </row>
    <row r="120" spans="2:8" x14ac:dyDescent="0.3">
      <c r="C120" s="249" t="str">
        <f>+C28</f>
        <v>Power Generation</v>
      </c>
      <c r="D120" s="249"/>
      <c r="E120" s="165" t="s">
        <v>480</v>
      </c>
      <c r="F120" s="116">
        <v>1997</v>
      </c>
      <c r="G120" s="249">
        <v>3</v>
      </c>
      <c r="H120" s="249">
        <v>3</v>
      </c>
    </row>
    <row r="121" spans="2:8" x14ac:dyDescent="0.3">
      <c r="C121" s="249" t="str">
        <f>+C64</f>
        <v>Secondary Conversion</v>
      </c>
      <c r="D121" s="249"/>
      <c r="E121" s="165" t="s">
        <v>481</v>
      </c>
      <c r="F121" s="116">
        <v>1998</v>
      </c>
      <c r="G121" s="249">
        <v>4</v>
      </c>
      <c r="H121" s="249">
        <v>4</v>
      </c>
    </row>
    <row r="122" spans="2:8" x14ac:dyDescent="0.3">
      <c r="C122" s="249" t="str">
        <f>+C84</f>
        <v>Contaminant Removal</v>
      </c>
      <c r="D122" s="249"/>
      <c r="E122" s="165" t="s">
        <v>482</v>
      </c>
      <c r="F122" s="116">
        <v>1999</v>
      </c>
      <c r="G122" s="249"/>
      <c r="H122" s="249">
        <v>5</v>
      </c>
    </row>
    <row r="123" spans="2:8" x14ac:dyDescent="0.3">
      <c r="C123" s="249" t="str">
        <f>+C100</f>
        <v>Energy Storage</v>
      </c>
      <c r="D123" s="249"/>
      <c r="E123" s="165" t="s">
        <v>488</v>
      </c>
      <c r="F123" s="116">
        <v>2000</v>
      </c>
      <c r="G123" s="249"/>
      <c r="H123" s="249">
        <v>6</v>
      </c>
    </row>
    <row r="124" spans="2:8" x14ac:dyDescent="0.3">
      <c r="C124" s="249" t="s">
        <v>435</v>
      </c>
      <c r="D124" s="249"/>
      <c r="E124" s="165" t="s">
        <v>600</v>
      </c>
      <c r="F124" s="116">
        <v>2001</v>
      </c>
      <c r="G124" s="249"/>
      <c r="H124" s="249">
        <v>7</v>
      </c>
    </row>
    <row r="125" spans="2:8" x14ac:dyDescent="0.3">
      <c r="C125" s="249"/>
      <c r="D125" s="249"/>
      <c r="E125" s="165" t="s">
        <v>483</v>
      </c>
      <c r="F125" s="116">
        <v>2002</v>
      </c>
      <c r="G125" s="249"/>
      <c r="H125" s="249">
        <v>8</v>
      </c>
    </row>
    <row r="126" spans="2:8" x14ac:dyDescent="0.3">
      <c r="C126" s="249"/>
      <c r="D126" s="249"/>
      <c r="E126" s="165" t="s">
        <v>602</v>
      </c>
      <c r="F126" s="116">
        <v>2003</v>
      </c>
      <c r="G126" s="249"/>
      <c r="H126" s="249">
        <v>9</v>
      </c>
    </row>
    <row r="127" spans="2:8" x14ac:dyDescent="0.3">
      <c r="C127" s="249"/>
      <c r="D127" s="249"/>
      <c r="E127" s="165" t="s">
        <v>484</v>
      </c>
      <c r="F127" s="116">
        <v>2004</v>
      </c>
      <c r="G127" s="249"/>
      <c r="H127" s="249">
        <v>10</v>
      </c>
    </row>
    <row r="128" spans="2:8" x14ac:dyDescent="0.3">
      <c r="E128" s="332" t="s">
        <v>601</v>
      </c>
      <c r="F128" s="116">
        <v>2005</v>
      </c>
      <c r="G128" s="249"/>
      <c r="H128" s="249">
        <v>11</v>
      </c>
    </row>
    <row r="129" spans="5:8" x14ac:dyDescent="0.3">
      <c r="E129" s="332" t="s">
        <v>625</v>
      </c>
      <c r="F129" s="116">
        <v>2006</v>
      </c>
      <c r="G129" s="249"/>
      <c r="H129" s="249">
        <v>12</v>
      </c>
    </row>
    <row r="130" spans="5:8" x14ac:dyDescent="0.3">
      <c r="E130" s="332" t="s">
        <v>597</v>
      </c>
      <c r="F130" s="116">
        <v>2007</v>
      </c>
      <c r="G130" s="249"/>
      <c r="H130" s="249">
        <v>13</v>
      </c>
    </row>
    <row r="131" spans="5:8" x14ac:dyDescent="0.3">
      <c r="E131" s="332" t="s">
        <v>598</v>
      </c>
      <c r="F131" s="116">
        <v>2008</v>
      </c>
      <c r="G131" s="249"/>
      <c r="H131" s="249">
        <v>14</v>
      </c>
    </row>
    <row r="132" spans="5:8" x14ac:dyDescent="0.3">
      <c r="E132" s="332" t="s">
        <v>599</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88" t="s">
        <v>653</v>
      </c>
      <c r="C2" s="1061"/>
      <c r="D2" s="1062"/>
      <c r="E2" s="1062"/>
      <c r="F2" s="1062"/>
      <c r="G2" s="1062"/>
      <c r="H2" s="1062"/>
      <c r="I2" s="1062"/>
      <c r="J2" s="1062"/>
      <c r="K2" s="1062"/>
      <c r="L2" s="1062"/>
      <c r="M2" s="1062"/>
      <c r="N2" s="1062"/>
      <c r="O2" s="1062"/>
      <c r="P2" s="1062"/>
      <c r="Q2" s="1062"/>
      <c r="R2" s="1062"/>
      <c r="S2" s="1062"/>
      <c r="T2" s="1062"/>
      <c r="U2" s="1063"/>
    </row>
    <row r="3" spans="2:21" ht="18" x14ac:dyDescent="0.3">
      <c r="B3" s="929" t="s">
        <v>642</v>
      </c>
      <c r="C3" s="930"/>
      <c r="D3" s="930"/>
      <c r="E3" s="930"/>
      <c r="F3" s="930"/>
      <c r="G3" s="930"/>
      <c r="H3" s="930"/>
      <c r="I3" s="931"/>
      <c r="J3" s="929" t="s">
        <v>643</v>
      </c>
      <c r="K3" s="930"/>
      <c r="L3" s="930"/>
      <c r="M3" s="930"/>
      <c r="N3" s="930"/>
      <c r="O3" s="930"/>
      <c r="P3" s="930"/>
      <c r="Q3" s="930"/>
      <c r="R3" s="931"/>
      <c r="S3" s="929" t="s">
        <v>644</v>
      </c>
      <c r="T3" s="930"/>
      <c r="U3" s="931"/>
    </row>
    <row r="4" spans="2:21" ht="18" x14ac:dyDescent="0.3">
      <c r="B4" s="88" t="s">
        <v>356</v>
      </c>
      <c r="C4" s="88" t="s">
        <v>646</v>
      </c>
      <c r="D4" s="88" t="s">
        <v>498</v>
      </c>
      <c r="E4" s="89" t="s">
        <v>464</v>
      </c>
      <c r="F4" s="89" t="s">
        <v>315</v>
      </c>
      <c r="G4" s="89" t="s">
        <v>509</v>
      </c>
      <c r="H4" s="88" t="s">
        <v>506</v>
      </c>
      <c r="I4" s="383" t="s">
        <v>235</v>
      </c>
      <c r="J4" s="262" t="s">
        <v>466</v>
      </c>
      <c r="K4" s="262" t="s">
        <v>467</v>
      </c>
      <c r="L4" s="261" t="s">
        <v>586</v>
      </c>
      <c r="M4" s="263" t="s">
        <v>469</v>
      </c>
      <c r="N4" s="264" t="s">
        <v>468</v>
      </c>
      <c r="O4" s="263" t="s">
        <v>650</v>
      </c>
      <c r="P4" s="263" t="s">
        <v>651</v>
      </c>
      <c r="Q4" s="263" t="s">
        <v>465</v>
      </c>
      <c r="R4" s="90" t="s">
        <v>639</v>
      </c>
      <c r="S4" s="389" t="s">
        <v>647</v>
      </c>
      <c r="T4" s="1107" t="s">
        <v>645</v>
      </c>
      <c r="U4" s="1108"/>
    </row>
    <row r="5" spans="2:21" x14ac:dyDescent="0.3">
      <c r="B5" s="374"/>
      <c r="C5" s="375"/>
      <c r="D5" s="375"/>
      <c r="E5" s="375"/>
      <c r="F5" s="375"/>
      <c r="G5" s="375"/>
      <c r="H5" s="375"/>
      <c r="I5" s="375"/>
      <c r="J5" s="374"/>
      <c r="K5" s="375"/>
      <c r="L5" s="375"/>
      <c r="M5" s="219"/>
      <c r="N5" s="219"/>
      <c r="O5" s="219"/>
      <c r="P5" s="219"/>
      <c r="Q5" s="375"/>
      <c r="R5" s="195" t="str" cm="1">
        <f t="array" aca="1" ref="R5" ca="1">+IF(N5&gt;0,N5*INDIRECT(ADDRESS(MATCH(F5,'Cost Conversion'!$B$3:$B$48,0)+2,4,1,1,"Cost conversion"))*INDIRECT(ADDRESS(MATCH(G5,'Cost Conversion'!$F$3:$F$22,0)+2,8,1,1,"Cost conversion"))/IF(E5="$",'Cost Conversion'!$L$2,1),"")</f>
        <v/>
      </c>
      <c r="S5" s="407"/>
      <c r="T5" s="328"/>
      <c r="U5" s="124"/>
    </row>
    <row r="6" spans="2:21" x14ac:dyDescent="0.3">
      <c r="B6" s="432"/>
      <c r="C6" s="433"/>
      <c r="D6" s="433"/>
      <c r="E6" s="433"/>
      <c r="F6" s="433"/>
      <c r="G6" s="433"/>
      <c r="H6" s="433"/>
      <c r="I6" s="433"/>
      <c r="J6" s="432"/>
      <c r="K6" s="433"/>
      <c r="L6" s="433"/>
      <c r="M6" s="387"/>
      <c r="N6" s="387"/>
      <c r="O6" s="433"/>
      <c r="P6" s="433"/>
      <c r="Q6" s="433"/>
      <c r="R6" s="195" t="str" cm="1">
        <f t="array" aca="1" ref="R6" ca="1">+IF(N6&gt;0,N6*INDIRECT(ADDRESS(MATCH(F6,'Cost Conversion'!$B$3:$B$48,0)+2,4,1,1,"Cost conversion"))*INDIRECT(ADDRESS(MATCH(G6,'Cost Conversion'!$F$3:$F$22,0)+2,8,1,1,"Cost conversion"))/IF(E6="$",'Cost Conversion'!$L$2,1),"")</f>
        <v/>
      </c>
      <c r="S6" s="432"/>
      <c r="T6" s="92"/>
      <c r="U6" s="84"/>
    </row>
    <row r="7" spans="2:21" x14ac:dyDescent="0.3">
      <c r="B7" s="432"/>
      <c r="C7" s="433"/>
      <c r="D7" s="433"/>
      <c r="E7" s="433"/>
      <c r="F7" s="433"/>
      <c r="G7" s="433"/>
      <c r="H7" s="433"/>
      <c r="I7" s="433"/>
      <c r="J7" s="432"/>
      <c r="K7" s="433"/>
      <c r="L7" s="433"/>
      <c r="M7" s="387"/>
      <c r="N7" s="387"/>
      <c r="O7" s="387"/>
      <c r="P7" s="387"/>
      <c r="Q7" s="433"/>
      <c r="R7" s="195" t="str" cm="1">
        <f t="array" aca="1" ref="R7" ca="1">+IF(N7&gt;0,N7*INDIRECT(ADDRESS(MATCH(F7,'Cost Conversion'!$B$3:$B$48,0)+2,4,1,1,"Cost conversion"))*INDIRECT(ADDRESS(MATCH(G7,'Cost Conversion'!$F$3:$F$22,0)+2,8,1,1,"Cost conversion"))/IF(E7="$",'Cost Conversion'!$L$2,1),"")</f>
        <v/>
      </c>
      <c r="S7" s="432"/>
      <c r="T7" s="92"/>
      <c r="U7" s="84"/>
    </row>
    <row r="8" spans="2:21" x14ac:dyDescent="0.3">
      <c r="B8" s="432"/>
      <c r="C8" s="433"/>
      <c r="D8" s="433"/>
      <c r="E8" s="433"/>
      <c r="F8" s="433"/>
      <c r="G8" s="433"/>
      <c r="H8" s="433"/>
      <c r="I8" s="411"/>
      <c r="J8" s="432"/>
      <c r="K8" s="433"/>
      <c r="L8" s="433"/>
      <c r="M8" s="387"/>
      <c r="N8" s="433"/>
      <c r="O8" s="433"/>
      <c r="P8" s="433"/>
      <c r="Q8" s="433"/>
      <c r="R8" s="195" t="str" cm="1">
        <f t="array" aca="1" ref="R8" ca="1">+IF(N8&gt;0,N8*INDIRECT(ADDRESS(MATCH(F8,'Cost Conversion'!$B$3:$B$48,0)+2,4,1,1,"Cost conversion"))*INDIRECT(ADDRESS(MATCH(G8,'Cost Conversion'!$F$3:$F$22,0)+2,8,1,1,"Cost conversion"))/IF(E8="$",'Cost Conversion'!$L$2,1),"")</f>
        <v/>
      </c>
      <c r="S8" s="432"/>
      <c r="T8" s="92"/>
      <c r="U8" s="84"/>
    </row>
    <row r="9" spans="2:21" x14ac:dyDescent="0.3">
      <c r="B9" s="432"/>
      <c r="C9" s="433"/>
      <c r="D9" s="433"/>
      <c r="E9" s="433"/>
      <c r="F9" s="433"/>
      <c r="G9" s="433"/>
      <c r="H9" s="433"/>
      <c r="I9" s="433"/>
      <c r="J9" s="432"/>
      <c r="K9" s="433"/>
      <c r="L9" s="433"/>
      <c r="M9" s="433"/>
      <c r="N9" s="433"/>
      <c r="O9" s="433"/>
      <c r="P9" s="433"/>
      <c r="Q9" s="433"/>
      <c r="R9" s="195" t="str" cm="1">
        <f t="array" aca="1" ref="R9" ca="1">+IF(N9&gt;0,N9*INDIRECT(ADDRESS(MATCH(F9,'Cost Conversion'!$B$3:$B$48,0)+2,4,1,1,"Cost conversion"))*INDIRECT(ADDRESS(MATCH(G9,'Cost Conversion'!$F$3:$F$22,0)+2,8,1,1,"Cost conversion"))/IF(E9="$",'Cost Conversion'!$L$2,1),"")</f>
        <v/>
      </c>
      <c r="S9" s="432"/>
      <c r="T9" s="92"/>
      <c r="U9" s="84"/>
    </row>
    <row r="10" spans="2:21" x14ac:dyDescent="0.3">
      <c r="B10" s="384"/>
      <c r="C10" s="385"/>
      <c r="D10" s="385"/>
      <c r="E10" s="385"/>
      <c r="F10" s="385"/>
      <c r="G10" s="385"/>
      <c r="H10" s="385"/>
      <c r="I10" s="385"/>
      <c r="J10" s="384"/>
      <c r="K10" s="385"/>
      <c r="L10" s="385"/>
      <c r="M10" s="385"/>
      <c r="N10" s="385"/>
      <c r="O10" s="385"/>
      <c r="P10" s="385"/>
      <c r="Q10" s="385"/>
      <c r="R10" s="195" t="str" cm="1">
        <f t="array" aca="1" ref="R10" ca="1">+IF(N10&gt;0,N10*INDIRECT(ADDRESS(MATCH(F10,'Cost Conversion'!$B$3:$B$48,0)+2,4,1,1,"Cost conversion"))*INDIRECT(ADDRESS(MATCH(G10,'Cost Conversion'!$F$3:$F$22,0)+2,8,1,1,"Cost conversion"))/IF(E10="$",'Cost Conversion'!$L$2,1),"")</f>
        <v/>
      </c>
      <c r="S10" s="384"/>
      <c r="T10" s="392"/>
      <c r="U10" s="394"/>
    </row>
    <row r="11" spans="2:21" x14ac:dyDescent="0.3">
      <c r="B11" s="374"/>
      <c r="C11" s="375"/>
      <c r="D11" s="375"/>
      <c r="E11" s="375"/>
      <c r="F11" s="375"/>
      <c r="G11" s="375"/>
      <c r="H11" s="375"/>
      <c r="I11" s="375"/>
      <c r="J11" s="375"/>
      <c r="K11" s="375"/>
      <c r="L11" s="375"/>
      <c r="M11" s="375"/>
      <c r="N11" s="375"/>
      <c r="O11" s="375"/>
      <c r="P11" s="375"/>
      <c r="Q11" s="375"/>
      <c r="R11" s="375"/>
      <c r="S11" s="375"/>
      <c r="T11" s="328"/>
      <c r="U11" s="124"/>
    </row>
    <row r="12" spans="2:21" x14ac:dyDescent="0.3">
      <c r="B12" s="432"/>
      <c r="C12" s="433"/>
      <c r="D12" s="433"/>
      <c r="E12" s="433"/>
      <c r="F12" s="433"/>
      <c r="G12" s="433"/>
      <c r="H12" s="433"/>
      <c r="I12" s="433"/>
      <c r="J12" s="433"/>
      <c r="K12" s="433"/>
      <c r="L12" s="433"/>
      <c r="M12" s="433"/>
      <c r="N12" s="433"/>
      <c r="O12" s="433"/>
      <c r="P12" s="433"/>
      <c r="Q12" s="433"/>
      <c r="R12" s="433"/>
      <c r="S12" s="433"/>
      <c r="T12" s="92"/>
      <c r="U12" s="84"/>
    </row>
    <row r="13" spans="2:21" x14ac:dyDescent="0.3">
      <c r="B13" s="432"/>
      <c r="C13" s="433"/>
      <c r="D13" s="433"/>
      <c r="E13" s="433"/>
      <c r="F13" s="433"/>
      <c r="G13" s="433"/>
      <c r="H13" s="433"/>
      <c r="I13" s="433"/>
      <c r="J13" s="433"/>
      <c r="K13" s="433"/>
      <c r="L13" s="433"/>
      <c r="M13" s="433"/>
      <c r="N13" s="433"/>
      <c r="O13" s="433"/>
      <c r="P13" s="433"/>
      <c r="Q13" s="433"/>
      <c r="R13" s="433"/>
      <c r="S13" s="433"/>
      <c r="T13" s="92"/>
      <c r="U13" s="84"/>
    </row>
    <row r="14" spans="2:21" x14ac:dyDescent="0.3">
      <c r="B14" s="432"/>
      <c r="C14" s="433"/>
      <c r="D14" s="433"/>
      <c r="E14" s="433"/>
      <c r="F14" s="433"/>
      <c r="G14" s="433"/>
      <c r="H14" s="433"/>
      <c r="I14" s="433"/>
      <c r="J14" s="1001" t="str">
        <f>TEXT(C2,0)</f>
        <v>0</v>
      </c>
      <c r="K14" s="1002"/>
      <c r="L14" s="1002"/>
      <c r="M14" s="1002"/>
      <c r="N14" s="1002"/>
      <c r="O14" s="1002"/>
      <c r="P14" s="1002"/>
      <c r="Q14" s="1002"/>
      <c r="R14" s="1002"/>
      <c r="S14" s="1002"/>
      <c r="T14" s="1003"/>
      <c r="U14" s="84"/>
    </row>
    <row r="15" spans="2:21" x14ac:dyDescent="0.3">
      <c r="B15" s="432"/>
      <c r="C15" s="433"/>
      <c r="D15" s="433"/>
      <c r="E15" s="433"/>
      <c r="F15" s="433"/>
      <c r="G15" s="433"/>
      <c r="H15" s="433"/>
      <c r="I15" s="433"/>
      <c r="J15" s="414" t="s">
        <v>648</v>
      </c>
      <c r="K15" s="415">
        <v>1</v>
      </c>
      <c r="L15" s="415">
        <v>2</v>
      </c>
      <c r="M15" s="415">
        <v>3</v>
      </c>
      <c r="N15" s="415">
        <v>4</v>
      </c>
      <c r="O15" s="415">
        <v>5</v>
      </c>
      <c r="P15" s="415">
        <v>6</v>
      </c>
      <c r="Q15" s="415">
        <v>7</v>
      </c>
      <c r="R15" s="415">
        <v>8</v>
      </c>
      <c r="S15" s="415">
        <v>9</v>
      </c>
      <c r="T15" s="416">
        <v>10</v>
      </c>
      <c r="U15" s="84"/>
    </row>
    <row r="16" spans="2:21" x14ac:dyDescent="0.3">
      <c r="B16" s="432"/>
      <c r="C16" s="433"/>
      <c r="D16" s="433"/>
      <c r="E16" s="433"/>
      <c r="F16" s="433"/>
      <c r="G16" s="433"/>
      <c r="H16" s="433"/>
      <c r="I16" s="433"/>
      <c r="J16" s="86" t="str">
        <f>+TEXT(H5,0)&amp;" "&amp;"("&amp;TEXT(I5,0)&amp;")"</f>
        <v>0 (0)</v>
      </c>
      <c r="K16" s="443">
        <f>+P5</f>
        <v>0</v>
      </c>
      <c r="L16" s="417">
        <f>+K16+(O5-P5)/(T15-1)</f>
        <v>0</v>
      </c>
      <c r="M16" s="417">
        <f>+L16+(O5-P5)/(T15-1)</f>
        <v>0</v>
      </c>
      <c r="N16" s="417">
        <f>+M16+(O5-P5)/(T15-1)</f>
        <v>0</v>
      </c>
      <c r="O16" s="417">
        <f>+N16+(O5-P5)/(T15-1)</f>
        <v>0</v>
      </c>
      <c r="P16" s="417">
        <f>+O16+(O5-P5)/(T15-1)</f>
        <v>0</v>
      </c>
      <c r="Q16" s="417">
        <f>+P16+(O5-P5)/(T15-1)</f>
        <v>0</v>
      </c>
      <c r="R16" s="417">
        <f>+Q16+(O5-P5)/(T15-1)</f>
        <v>0</v>
      </c>
      <c r="S16" s="417">
        <f>+R16+(O5-P5)/(T15-1)</f>
        <v>0</v>
      </c>
      <c r="T16" s="418">
        <f>+S16+(O5-P5)/(T15-1)</f>
        <v>0</v>
      </c>
      <c r="U16" s="84"/>
    </row>
    <row r="17" spans="2:21" x14ac:dyDescent="0.3">
      <c r="B17" s="432"/>
      <c r="C17" s="433"/>
      <c r="D17" s="433"/>
      <c r="E17" s="433"/>
      <c r="F17" s="433"/>
      <c r="G17" s="433"/>
      <c r="H17" s="433"/>
      <c r="I17" s="433"/>
      <c r="J17" s="100" t="str">
        <f>+TEXT(B5,0)&amp;" - Scaling"</f>
        <v>0 - Scaling</v>
      </c>
      <c r="K17" s="356"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7" t="e">
        <f ca="1">+(Q5/L5)^J5*R5*((T16/Q5)/(M5/L5))^K5</f>
        <v>#DIV/0!</v>
      </c>
      <c r="U17" s="84"/>
    </row>
    <row r="18" spans="2:21" x14ac:dyDescent="0.3">
      <c r="B18" s="432"/>
      <c r="C18" s="433"/>
      <c r="D18" s="433"/>
      <c r="E18" s="433"/>
      <c r="F18" s="433"/>
      <c r="G18" s="433"/>
      <c r="H18" s="433"/>
      <c r="I18" s="433"/>
      <c r="J18" s="100" t="str">
        <f>+TEXT(B6,0)&amp;" - Scaling"</f>
        <v>0 - Scaling</v>
      </c>
      <c r="K18" s="268" t="e">
        <f ca="1">+(Q6/L6)^J6*R6*((K16/Q6)/(M6/L6))^K6</f>
        <v>#DIV/0!</v>
      </c>
      <c r="L18" s="387" t="e">
        <f ca="1">+(Q6/L6)^J6*R6*((L16/Q6)/(M6/L6))^K6</f>
        <v>#DIV/0!</v>
      </c>
      <c r="M18" s="387" t="e">
        <f ca="1">+(Q6/L6)^J6*R6*((M16/Q6)/(M6/L6))^K6</f>
        <v>#DIV/0!</v>
      </c>
      <c r="N18" s="387" t="e">
        <f ca="1">+(Q6/L6)^J6*R6*((N16/Q6)/(M6/L6))^K6</f>
        <v>#DIV/0!</v>
      </c>
      <c r="O18" s="387" t="e">
        <f ca="1">+(Q6/L6)^J6*R6*((O16/Q6)/(M6/L6))^K6</f>
        <v>#DIV/0!</v>
      </c>
      <c r="P18" s="387" t="e">
        <f ca="1">+(Q6/L6)^J6*R6*((P16/Q6)/(M6/L6))^K6</f>
        <v>#DIV/0!</v>
      </c>
      <c r="Q18" s="387" t="e">
        <f ca="1">+(Q6/L6)^J6*R6*((Q16/Q6)/(M6/L6))^K6</f>
        <v>#DIV/0!</v>
      </c>
      <c r="R18" s="387" t="e">
        <f ca="1">+(Q6/L6)^J6*R6*((R16/Q6)/(M6/L6))^K6</f>
        <v>#DIV/0!</v>
      </c>
      <c r="S18" s="387" t="e">
        <f ca="1">+(Q6/L6)^J6*R6*((S16/Q6)/(M6/L6))^K6</f>
        <v>#DIV/0!</v>
      </c>
      <c r="T18" s="265" t="e">
        <f ca="1">+(Q6/L6)^J6*R6*((T16/Q6)/(M6/L6))^K6</f>
        <v>#DIV/0!</v>
      </c>
      <c r="U18" s="84"/>
    </row>
    <row r="19" spans="2:21" x14ac:dyDescent="0.3">
      <c r="B19" s="432"/>
      <c r="C19" s="433"/>
      <c r="D19" s="433"/>
      <c r="E19" s="433"/>
      <c r="F19" s="433"/>
      <c r="G19" s="433"/>
      <c r="H19" s="433"/>
      <c r="I19" s="433"/>
      <c r="J19" s="100" t="str">
        <f>+TEXT(B7,0)&amp;" - Scaling"</f>
        <v>0 - Scaling</v>
      </c>
      <c r="K19" s="268" t="e">
        <f ca="1">+(Q7/L7)^J7*R7*((K16/Q7)/(M7/L7))^K7</f>
        <v>#DIV/0!</v>
      </c>
      <c r="L19" s="387" t="e">
        <f ca="1">+(Q7/L7)^J7*R7*((L16/Q7)/(M7/L7))^K7</f>
        <v>#DIV/0!</v>
      </c>
      <c r="M19" s="387" t="e">
        <f ca="1">+(Q7/L7)^J7*R7*((M16/Q7)/(M7/L7))^K7</f>
        <v>#DIV/0!</v>
      </c>
      <c r="N19" s="387" t="e">
        <f ca="1">+(Q7/L7)^J7*R7*((N16/Q7)/(M7/L7))^K7</f>
        <v>#DIV/0!</v>
      </c>
      <c r="O19" s="387" t="e">
        <f ca="1">+(Q7/L7)^J7*R7*((O16/Q7)/(M7/L7))^K7</f>
        <v>#DIV/0!</v>
      </c>
      <c r="P19" s="387" t="e">
        <f ca="1">+(Q7/L7)^J7*R7*((P16/Q7)/(M7/L7))^K7</f>
        <v>#DIV/0!</v>
      </c>
      <c r="Q19" s="387" t="e">
        <f ca="1">+(Q7/L7)^J7*R7*((Q16/Q7)/(M7/L7))^K7</f>
        <v>#DIV/0!</v>
      </c>
      <c r="R19" s="387" t="e">
        <f ca="1">+(Q7/L7)^J7*R7*((R16/Q7)/(M7/L7))^K7</f>
        <v>#DIV/0!</v>
      </c>
      <c r="S19" s="387" t="e">
        <f ca="1">+(Q7/L7)^J7*R7*((S16/Q7)/(M7/L7))^K7</f>
        <v>#DIV/0!</v>
      </c>
      <c r="T19" s="265" t="e">
        <f ca="1">+(Q7/L7)^J7*R7*((T16/Q7)/(M7/L7))^K7</f>
        <v>#DIV/0!</v>
      </c>
      <c r="U19" s="84"/>
    </row>
    <row r="20" spans="2:21" x14ac:dyDescent="0.3">
      <c r="B20" s="432"/>
      <c r="C20" s="433"/>
      <c r="D20" s="433"/>
      <c r="E20" s="433"/>
      <c r="F20" s="433"/>
      <c r="G20" s="433"/>
      <c r="H20" s="433"/>
      <c r="I20" s="433"/>
      <c r="J20" s="100" t="str">
        <f>+TEXT(B8,0)&amp;" - Scaling"</f>
        <v>0 - Scaling</v>
      </c>
      <c r="K20" s="268" t="e">
        <f ca="1">+(Q8/L8)^J8*R8*((K16/Q8)/(M8/L8))^K8</f>
        <v>#DIV/0!</v>
      </c>
      <c r="L20" s="387" t="e">
        <f ca="1">+(Q8/L8)^J8*R8*((L16/Q8)/(M8/L8))^K8</f>
        <v>#DIV/0!</v>
      </c>
      <c r="M20" s="387" t="e">
        <f ca="1">+(Q8/L8)^J8*R8*((M16/Q8)/(M8/L8))^K8</f>
        <v>#DIV/0!</v>
      </c>
      <c r="N20" s="387" t="e">
        <f ca="1">+(Q8/L8)^J8*R8*((N16/Q8)/(M8/L8))^K8</f>
        <v>#DIV/0!</v>
      </c>
      <c r="O20" s="387" t="e">
        <f ca="1">+(Q8/L8)^J8*R8*((O16/Q8)/(M8/L8))^K8</f>
        <v>#DIV/0!</v>
      </c>
      <c r="P20" s="387" t="e">
        <f ca="1">+(Q8/L8)^J8*R8*((P16/Q8)/(M8/L8))^K8</f>
        <v>#DIV/0!</v>
      </c>
      <c r="Q20" s="387" t="e">
        <f ca="1">+(Q8/L8)^J8*R8*((Q16/Q8)/(M8/L8))^K8</f>
        <v>#DIV/0!</v>
      </c>
      <c r="R20" s="387" t="e">
        <f ca="1">+(Q8/L8)^J8*R8*((R16/Q8)/(M8/L8))^K8</f>
        <v>#DIV/0!</v>
      </c>
      <c r="S20" s="387" t="e">
        <f ca="1">+(Q8/L8)^J8*R8*((S16/Q8)/(M8/L8))^K8</f>
        <v>#DIV/0!</v>
      </c>
      <c r="T20" s="265" t="e">
        <f ca="1">+(Q8/L8)^J8*R8*((T16/Q8)/(M8/L8))^K8</f>
        <v>#DIV/0!</v>
      </c>
      <c r="U20" s="84"/>
    </row>
    <row r="21" spans="2:21" x14ac:dyDescent="0.3">
      <c r="B21" s="432"/>
      <c r="C21" s="433"/>
      <c r="D21" s="433"/>
      <c r="E21" s="433"/>
      <c r="F21" s="433"/>
      <c r="G21" s="433"/>
      <c r="H21" s="433"/>
      <c r="I21" s="433"/>
      <c r="J21" s="100" t="str">
        <f t="shared" ref="J21:J22" si="0">+TEXT(B9,0)&amp;" - Scaling"</f>
        <v>0 - Scaling</v>
      </c>
      <c r="K21" s="432" t="e">
        <f ca="1">+(Q9/L9)^J9*R9*((K17/Q9)/(M9/L9))^K9</f>
        <v>#DIV/0!</v>
      </c>
      <c r="L21" s="387" t="e">
        <f ca="1">+(Q9/L9)^J9*R9*((L16/Q9)/(M9/L9))^K9</f>
        <v>#DIV/0!</v>
      </c>
      <c r="M21" s="387" t="e">
        <f ca="1">+(Q9/L9)^J9*R9*((M16/Q9)/(M9/L9))^K9</f>
        <v>#DIV/0!</v>
      </c>
      <c r="N21" s="387" t="e">
        <f ca="1">+(Q9/L9)^J9*R9*((N16/Q9)/(M9/L9))^K9</f>
        <v>#DIV/0!</v>
      </c>
      <c r="O21" s="387" t="e">
        <f ca="1">+(Q9/L9)^J9*R9*((O16/Q9)/(M9/L9))^K9</f>
        <v>#DIV/0!</v>
      </c>
      <c r="P21" s="387" t="e">
        <f ca="1">+(Q9/L9)^J9*R9*((P16/Q9)/(M9/L9))^K9</f>
        <v>#DIV/0!</v>
      </c>
      <c r="Q21" s="387" t="e">
        <f ca="1">+(Q9/L9)^J9*R9*((Q16/Q9)/(M9/L9))^K9</f>
        <v>#DIV/0!</v>
      </c>
      <c r="R21" s="387" t="e">
        <f ca="1">+(Q9/L9)^J9*R9*((R16/Q9)/(M9/L9))^K9</f>
        <v>#DIV/0!</v>
      </c>
      <c r="S21" s="387" t="e">
        <f ca="1">+(Q9/L9)^J9*R9*((S16/Q9)/(M9/L9))^K9</f>
        <v>#DIV/0!</v>
      </c>
      <c r="T21" s="265" t="e">
        <f ca="1">+(Q9/L9)^J9*R9*((T16/Q9)/(M9/L9))^K9</f>
        <v>#DIV/0!</v>
      </c>
      <c r="U21" s="84"/>
    </row>
    <row r="22" spans="2:21" x14ac:dyDescent="0.3">
      <c r="B22" s="432"/>
      <c r="C22" s="433"/>
      <c r="D22" s="433"/>
      <c r="E22" s="433"/>
      <c r="F22" s="433"/>
      <c r="G22" s="433"/>
      <c r="H22" s="433"/>
      <c r="I22" s="433"/>
      <c r="J22" s="100" t="str">
        <f t="shared" si="0"/>
        <v>0 - Scaling</v>
      </c>
      <c r="K22" s="384" t="e">
        <f ca="1">+(Q10/L10)^J10*R10*((K16/Q10)/(M10/L10))^K10</f>
        <v>#DIV/0!</v>
      </c>
      <c r="L22" s="445" t="e">
        <f ca="1">+(Q10/L10)^J10*R10*((L16/Q10)/(M10/L10))^K10</f>
        <v>#DIV/0!</v>
      </c>
      <c r="M22" s="445" t="e">
        <f ca="1">+(Q10/L10)^J10*R10*((M16/Q10)/(M10/L10))^K10</f>
        <v>#DIV/0!</v>
      </c>
      <c r="N22" s="445" t="e">
        <f ca="1">+(Q10/L10)^J10*R10*((N16/Q10)/(M10/L10))^K10</f>
        <v>#DIV/0!</v>
      </c>
      <c r="O22" s="445" t="e">
        <f ca="1">+(Q10/L10)^J10*R10*((O16/Q10)/(M10/L10))^K10</f>
        <v>#DIV/0!</v>
      </c>
      <c r="P22" s="445" t="e" cm="1">
        <f t="array" aca="1" ref="P22" ca="1">+(Q10/L10)^J10*R10*((P16/Q10)/(M10/P26L17))^K10</f>
        <v>#DIV/0!</v>
      </c>
      <c r="Q22" s="445" t="e">
        <f ca="1">+(Q10/L10)^J10*R10*((Q16/Q10)/(M10/L10))^K10</f>
        <v>#DIV/0!</v>
      </c>
      <c r="R22" s="445" t="e">
        <f ca="1">+(Q10/L10)^J10*R10*((R16/Q10)/(M10/L10))^K10</f>
        <v>#DIV/0!</v>
      </c>
      <c r="S22" s="445" t="e">
        <f ca="1">+(Q10/L10)^J10*R10*((S16/Q10)/(M10/L10))^K10</f>
        <v>#DIV/0!</v>
      </c>
      <c r="T22" s="382" t="e">
        <f ca="1">+(Q10/L10)^J10*R10*((T16/Q10)/(M10/L10))^K10</f>
        <v>#DIV/0!</v>
      </c>
      <c r="U22" s="84"/>
    </row>
    <row r="23" spans="2:21" x14ac:dyDescent="0.3">
      <c r="B23" s="432"/>
      <c r="C23" s="433"/>
      <c r="D23" s="433"/>
      <c r="E23" s="433"/>
      <c r="F23" s="433"/>
      <c r="G23" s="433"/>
      <c r="H23" s="433"/>
      <c r="I23" s="433"/>
      <c r="J23" s="86" t="s">
        <v>576</v>
      </c>
      <c r="K23" s="86" t="s">
        <v>652</v>
      </c>
      <c r="L23" s="433"/>
      <c r="M23" s="433"/>
      <c r="N23" s="433"/>
      <c r="O23" s="433"/>
      <c r="P23" s="433"/>
      <c r="Q23" s="433"/>
      <c r="R23" s="433"/>
      <c r="S23" s="433"/>
      <c r="T23" s="92"/>
      <c r="U23" s="84"/>
    </row>
    <row r="24" spans="2:21" x14ac:dyDescent="0.3">
      <c r="B24" s="432"/>
      <c r="C24" s="433"/>
      <c r="D24" s="433"/>
      <c r="E24" s="433"/>
      <c r="F24" s="433"/>
      <c r="G24" s="433"/>
      <c r="H24" s="433"/>
      <c r="I24" s="433"/>
      <c r="J24" s="439">
        <f>+B5</f>
        <v>0</v>
      </c>
      <c r="K24" s="398" t="e">
        <f ca="1">+R5/(M5/Q5)</f>
        <v>#VALUE!</v>
      </c>
      <c r="L24" s="433"/>
      <c r="M24" s="433"/>
      <c r="N24" s="433"/>
      <c r="O24" s="433"/>
      <c r="P24" s="433"/>
      <c r="Q24" s="433"/>
      <c r="R24" s="433"/>
      <c r="S24" s="433"/>
      <c r="T24" s="92"/>
      <c r="U24" s="84"/>
    </row>
    <row r="25" spans="2:21" x14ac:dyDescent="0.3">
      <c r="B25" s="432"/>
      <c r="C25" s="433"/>
      <c r="D25" s="433"/>
      <c r="E25" s="433"/>
      <c r="F25" s="433"/>
      <c r="G25" s="433"/>
      <c r="H25" s="433"/>
      <c r="I25" s="433"/>
      <c r="J25" s="100">
        <f>+B6</f>
        <v>0</v>
      </c>
      <c r="K25" s="412" t="e">
        <f ca="1">+R6/(M6/Q6)</f>
        <v>#VALUE!</v>
      </c>
      <c r="L25" s="433"/>
      <c r="M25" s="433"/>
      <c r="N25" s="433"/>
      <c r="O25" s="433"/>
      <c r="P25" s="433"/>
      <c r="Q25" s="433"/>
      <c r="R25" s="433"/>
      <c r="S25" s="433"/>
      <c r="T25" s="92"/>
      <c r="U25" s="84"/>
    </row>
    <row r="26" spans="2:21" x14ac:dyDescent="0.3">
      <c r="B26" s="91"/>
      <c r="C26" s="92"/>
      <c r="D26" s="92"/>
      <c r="E26" s="92"/>
      <c r="F26" s="433"/>
      <c r="G26" s="433"/>
      <c r="H26" s="92"/>
      <c r="I26" s="92"/>
      <c r="J26" s="100">
        <f>+B7</f>
        <v>0</v>
      </c>
      <c r="K26" s="412" t="e">
        <f ca="1">+R7/(M7/Q7)</f>
        <v>#VALUE!</v>
      </c>
      <c r="L26" s="92"/>
      <c r="M26" s="92"/>
      <c r="N26" s="92"/>
      <c r="O26" s="92"/>
      <c r="P26" s="92"/>
      <c r="Q26" s="92"/>
      <c r="R26" s="92"/>
      <c r="S26" s="92"/>
      <c r="T26" s="92"/>
      <c r="U26" s="84"/>
    </row>
    <row r="27" spans="2:21" x14ac:dyDescent="0.3">
      <c r="B27" s="91"/>
      <c r="C27" s="92"/>
      <c r="D27" s="92"/>
      <c r="E27" s="92"/>
      <c r="F27" s="433"/>
      <c r="G27" s="433"/>
      <c r="H27" s="92"/>
      <c r="I27" s="92"/>
      <c r="J27" s="440">
        <f>+B8</f>
        <v>0</v>
      </c>
      <c r="K27" s="419" t="e">
        <f ca="1">+R8/(M8/Q8)</f>
        <v>#VALUE!</v>
      </c>
      <c r="L27" s="92"/>
      <c r="M27" s="92"/>
      <c r="N27" s="92"/>
      <c r="O27" s="92"/>
      <c r="P27" s="92"/>
      <c r="Q27" s="92"/>
      <c r="R27" s="92"/>
      <c r="S27" s="92"/>
      <c r="T27" s="92"/>
      <c r="U27" s="84"/>
    </row>
    <row r="28" spans="2:21" x14ac:dyDescent="0.3">
      <c r="B28" s="91"/>
      <c r="C28" s="92"/>
      <c r="D28" s="92"/>
      <c r="E28" s="92"/>
      <c r="F28" s="433"/>
      <c r="G28" s="433"/>
      <c r="H28" s="92"/>
      <c r="I28" s="92"/>
      <c r="J28" s="433"/>
      <c r="K28" s="92"/>
      <c r="L28" s="92"/>
      <c r="M28" s="92"/>
      <c r="N28" s="92"/>
      <c r="O28" s="92"/>
      <c r="P28" s="92"/>
      <c r="Q28" s="92"/>
      <c r="R28" s="92"/>
      <c r="S28" s="92"/>
      <c r="T28" s="92"/>
      <c r="U28" s="84"/>
    </row>
    <row r="29" spans="2:21" x14ac:dyDescent="0.3">
      <c r="B29" s="91"/>
      <c r="C29" s="92"/>
      <c r="D29" s="92"/>
      <c r="E29" s="92"/>
      <c r="F29" s="433"/>
      <c r="G29" s="433"/>
      <c r="H29" s="92"/>
      <c r="I29" s="92"/>
      <c r="J29" s="92"/>
      <c r="K29" s="92"/>
      <c r="L29" s="92"/>
      <c r="M29" s="92"/>
      <c r="N29" s="92"/>
      <c r="O29" s="92"/>
      <c r="P29" s="92"/>
      <c r="Q29" s="92"/>
      <c r="R29" s="92"/>
      <c r="S29" s="92"/>
      <c r="T29" s="92"/>
      <c r="U29" s="84"/>
    </row>
    <row r="30" spans="2:21" x14ac:dyDescent="0.3">
      <c r="B30" s="91"/>
      <c r="C30" s="92"/>
      <c r="D30" s="92"/>
      <c r="E30" s="92"/>
      <c r="F30" s="433"/>
      <c r="G30" s="433"/>
      <c r="H30" s="92"/>
      <c r="I30" s="92"/>
      <c r="J30" s="92"/>
      <c r="K30" s="92"/>
      <c r="L30" s="92"/>
      <c r="M30" s="92"/>
      <c r="N30" s="92"/>
      <c r="O30" s="92"/>
      <c r="P30" s="92"/>
      <c r="Q30" s="92"/>
      <c r="R30" s="92"/>
      <c r="S30" s="92"/>
      <c r="T30" s="92"/>
      <c r="U30" s="84"/>
    </row>
    <row r="31" spans="2:21" x14ac:dyDescent="0.3">
      <c r="B31" s="91"/>
      <c r="C31" s="92"/>
      <c r="D31" s="92"/>
      <c r="E31" s="92"/>
      <c r="F31" s="433"/>
      <c r="G31" s="433"/>
      <c r="H31" s="92"/>
      <c r="I31" s="92"/>
      <c r="J31" s="92"/>
      <c r="K31" s="92"/>
      <c r="L31" s="92"/>
      <c r="M31" s="92"/>
      <c r="N31" s="92"/>
      <c r="O31" s="92"/>
      <c r="P31" s="92"/>
      <c r="Q31" s="92"/>
      <c r="R31" s="92"/>
      <c r="S31" s="92"/>
      <c r="T31" s="92"/>
      <c r="U31" s="84"/>
    </row>
    <row r="32" spans="2:21" x14ac:dyDescent="0.3">
      <c r="B32" s="91"/>
      <c r="C32" s="92"/>
      <c r="D32" s="92"/>
      <c r="E32" s="92"/>
      <c r="F32" s="433"/>
      <c r="G32" s="433"/>
      <c r="H32" s="92"/>
      <c r="I32" s="92"/>
      <c r="J32" s="92"/>
      <c r="K32" s="92"/>
      <c r="L32" s="92"/>
      <c r="M32" s="92"/>
      <c r="N32" s="92"/>
      <c r="O32" s="92"/>
      <c r="P32" s="92"/>
      <c r="Q32" s="92"/>
      <c r="R32" s="92"/>
      <c r="S32" s="92"/>
      <c r="T32" s="92"/>
      <c r="U32" s="84"/>
    </row>
    <row r="33" spans="2:21" x14ac:dyDescent="0.3">
      <c r="B33" s="91"/>
      <c r="C33" s="92"/>
      <c r="D33" s="92"/>
      <c r="E33" s="92"/>
      <c r="F33" s="433"/>
      <c r="G33" s="433"/>
      <c r="H33" s="92"/>
      <c r="I33" s="92"/>
      <c r="J33" s="92"/>
      <c r="K33" s="92"/>
      <c r="L33" s="92"/>
      <c r="M33" s="92"/>
      <c r="N33" s="92"/>
      <c r="O33" s="92"/>
      <c r="P33" s="92"/>
      <c r="Q33" s="92"/>
      <c r="R33" s="92"/>
      <c r="S33" s="92"/>
      <c r="T33" s="92"/>
      <c r="U33" s="84"/>
    </row>
    <row r="34" spans="2:21" x14ac:dyDescent="0.3">
      <c r="B34" s="91"/>
      <c r="C34" s="92"/>
      <c r="D34" s="92"/>
      <c r="E34" s="92"/>
      <c r="F34" s="433"/>
      <c r="G34" s="433"/>
      <c r="H34" s="92"/>
      <c r="I34" s="92"/>
      <c r="J34" s="92"/>
      <c r="K34" s="92"/>
      <c r="L34" s="92"/>
      <c r="M34" s="92"/>
      <c r="N34" s="92"/>
      <c r="O34" s="92"/>
      <c r="P34" s="92"/>
      <c r="Q34" s="92"/>
      <c r="R34" s="92"/>
      <c r="S34" s="92"/>
      <c r="T34" s="92"/>
      <c r="U34" s="84"/>
    </row>
    <row r="35" spans="2:21" x14ac:dyDescent="0.3">
      <c r="B35" s="91"/>
      <c r="C35" s="92"/>
      <c r="D35" s="92"/>
      <c r="E35" s="92"/>
      <c r="F35" s="433"/>
      <c r="G35" s="433"/>
      <c r="H35" s="92"/>
      <c r="I35" s="92"/>
      <c r="J35" s="92"/>
      <c r="K35" s="92"/>
      <c r="L35" s="92"/>
      <c r="M35" s="92"/>
      <c r="N35" s="92"/>
      <c r="O35" s="92"/>
      <c r="P35" s="92"/>
      <c r="Q35" s="92"/>
      <c r="R35" s="92"/>
      <c r="S35" s="92"/>
      <c r="T35" s="92"/>
      <c r="U35" s="84"/>
    </row>
    <row r="36" spans="2:21" x14ac:dyDescent="0.3">
      <c r="B36" s="391"/>
      <c r="C36" s="392"/>
      <c r="D36" s="392"/>
      <c r="E36" s="392"/>
      <c r="F36" s="385"/>
      <c r="G36" s="385"/>
      <c r="H36" s="392"/>
      <c r="I36" s="392"/>
      <c r="J36" s="392"/>
      <c r="K36" s="392"/>
      <c r="L36" s="392"/>
      <c r="M36" s="392"/>
      <c r="N36" s="392"/>
      <c r="O36" s="392"/>
      <c r="P36" s="392"/>
      <c r="Q36" s="392"/>
      <c r="R36" s="392"/>
      <c r="S36" s="392"/>
      <c r="T36" s="392"/>
      <c r="U36" s="394"/>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CF7AD8-694B-44AC-8776-7C928E0A8AE3}">
  <ds:schemaRefs>
    <ds:schemaRef ds:uri="http://schemas.microsoft.com/DataMashup"/>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2021-09-23T10:53:03Z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