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2.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EC72982E-391A-427F-A539-366BB4B3E978}" xr6:coauthVersionLast="47" xr6:coauthVersionMax="47" xr10:uidLastSave="{00000000-0000-0000-0000-000000000000}"/>
  <bookViews>
    <workbookView xWindow="-108" yWindow="-108" windowWidth="23256" windowHeight="13176" tabRatio="825" firstSheet="3" activeTab="10"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S54"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S54" i="105" l="1"/>
  <c r="M16" i="102"/>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W34" i="105"/>
  <c r="O3" i="105"/>
  <c r="W34" i="104"/>
  <c r="O3" i="104"/>
  <c r="W34" i="103"/>
  <c r="O3" i="103"/>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3" i="30" a="1"/>
  <c r="D32" i="30" a="1"/>
  <c r="D5" i="30" a="1"/>
  <c r="H21" i="30" a="1"/>
  <c r="D36" i="30" a="1"/>
  <c r="H15" i="30" a="1"/>
  <c r="H16" i="30" a="1"/>
  <c r="H11" i="30" a="1"/>
  <c r="D34" i="30" a="1"/>
  <c r="D27" i="30" a="1"/>
  <c r="H22" i="30" a="1"/>
  <c r="D48" i="30" a="1"/>
  <c r="H4" i="30" a="1"/>
  <c r="D38" i="30" a="1"/>
  <c r="D9" i="30" a="1"/>
  <c r="D22" i="30" a="1"/>
  <c r="D18" i="30" a="1"/>
  <c r="D15" i="30" a="1"/>
  <c r="H13" i="30" a="1"/>
  <c r="H18" i="30" a="1"/>
  <c r="H8" i="30" a="1"/>
  <c r="H19" i="30" a="1"/>
  <c r="D47" i="30" a="1"/>
  <c r="H7" i="30" a="1"/>
  <c r="D46" i="30" a="1"/>
  <c r="D24" i="30" a="1"/>
  <c r="D37" i="30" a="1"/>
  <c r="H14" i="30" a="1"/>
  <c r="H10" i="30" a="1"/>
  <c r="D26" i="30" a="1"/>
  <c r="D10" i="30" a="1"/>
  <c r="D4" i="30" a="1"/>
  <c r="D12" i="30" a="1"/>
  <c r="D40" i="30" a="1"/>
  <c r="H12" i="30" a="1"/>
  <c r="D19" i="30" a="1"/>
  <c r="D21" i="30" a="1"/>
  <c r="D43" i="30" a="1"/>
  <c r="D11" i="30" a="1"/>
  <c r="H5" i="30" a="1"/>
  <c r="H17" i="30" a="1"/>
  <c r="D35" i="30" a="1"/>
  <c r="D42" i="30" a="1"/>
  <c r="H20" i="30" a="1"/>
  <c r="D8" i="30" a="1"/>
  <c r="H6" i="30" a="1"/>
  <c r="D30" i="30" a="1"/>
  <c r="D28" i="30" a="1"/>
  <c r="D45" i="30" a="1"/>
  <c r="D25" i="30" a="1"/>
  <c r="D29" i="30" a="1"/>
  <c r="D20" i="30" a="1"/>
  <c r="D31" i="30" a="1"/>
  <c r="D41" i="30" a="1"/>
  <c r="D39" i="30" a="1"/>
  <c r="D33" i="30" a="1"/>
  <c r="D13" i="30" a="1"/>
  <c r="D44" i="30" a="1"/>
  <c r="D16" i="30" a="1"/>
  <c r="H3" i="30" a="1"/>
  <c r="D23" i="30" a="1"/>
  <c r="H9" i="30" a="1"/>
  <c r="D6" i="30" a="1"/>
  <c r="D14" i="30" a="1"/>
  <c r="D17" i="30" a="1"/>
  <c r="D7"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3" i="105" a="1"/>
  <c r="S53" i="104" a="1"/>
  <c r="S53" i="103" a="1"/>
  <c r="S53" i="102" a="1"/>
  <c r="S53" i="101" a="1"/>
  <c r="S53" i="80" a="1"/>
  <c r="S51" i="102" a="1"/>
  <c r="S51" i="104" a="1"/>
  <c r="S48" i="103" a="1"/>
  <c r="S51" i="101" a="1"/>
  <c r="S51" i="80" a="1"/>
  <c r="S51" i="105" a="1"/>
  <c r="S50" i="101" a="1"/>
  <c r="S47" i="103" a="1"/>
  <c r="S46" i="101" a="1"/>
  <c r="S48" i="80" a="1"/>
  <c r="S51" i="103" a="1"/>
  <c r="S49" i="103" a="1"/>
  <c r="R14" i="83" a="1"/>
  <c r="S50" i="102" a="1"/>
  <c r="S47" i="80" a="1"/>
  <c r="S46" i="80" a="1"/>
  <c r="S50" i="103" a="1"/>
  <c r="S49" i="80" a="1"/>
  <c r="S50" i="80" a="1"/>
  <c r="S47" i="101" a="1"/>
  <c r="S13" i="107" a="1"/>
  <c r="S46" i="103" a="1"/>
  <c r="S46" i="104" a="1"/>
  <c r="S50" i="104" a="1"/>
  <c r="S50" i="105" a="1"/>
  <c r="R13" i="83" a="1"/>
  <c r="S53" i="105" l="1"/>
  <c r="S53" i="104"/>
  <c r="S53" i="103"/>
  <c r="S53" i="102"/>
  <c r="S53" i="101"/>
  <c r="S53" i="80"/>
  <c r="R14" i="83"/>
  <c r="S26" i="83" s="1"/>
  <c r="R13" i="83"/>
  <c r="Q25" i="83" s="1"/>
  <c r="S47" i="104"/>
  <c r="S50" i="102"/>
  <c r="S13" i="107"/>
  <c r="S50" i="105"/>
  <c r="S50" i="104"/>
  <c r="S46" i="104"/>
  <c r="S49" i="103"/>
  <c r="S48" i="103"/>
  <c r="S47" i="103"/>
  <c r="S46" i="103"/>
  <c r="S50" i="103"/>
  <c r="F6" i="5"/>
  <c r="S51" i="105"/>
  <c r="S51" i="104"/>
  <c r="S51" i="103"/>
  <c r="S51" i="102"/>
  <c r="S47" i="101"/>
  <c r="T47" i="101" s="1"/>
  <c r="S46" i="101"/>
  <c r="S49" i="101"/>
  <c r="T49" i="101" s="1"/>
  <c r="S48" i="101"/>
  <c r="T48" i="101" s="1"/>
  <c r="S50" i="101"/>
  <c r="T50" i="101" s="1"/>
  <c r="S51" i="101"/>
  <c r="T51" i="101" s="1"/>
  <c r="S51" i="80"/>
  <c r="T51" i="80" s="1"/>
  <c r="S50" i="80"/>
  <c r="T50" i="80" s="1"/>
  <c r="S49" i="80"/>
  <c r="T49" i="80" s="1"/>
  <c r="S48" i="80"/>
  <c r="T48" i="80" s="1"/>
  <c r="S47" i="80"/>
  <c r="T47" i="80" s="1"/>
  <c r="S46" i="80"/>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S36" i="107" l="1"/>
  <c r="J6" i="5" s="1"/>
  <c r="N12" i="83"/>
  <c r="S54" i="104"/>
  <c r="S54" i="103"/>
  <c r="T46" i="101"/>
  <c r="S54" i="101"/>
  <c r="T46" i="80"/>
  <c r="S54" i="80"/>
  <c r="E6" i="5" s="1"/>
  <c r="N26" i="83"/>
  <c r="M26" i="83"/>
  <c r="Q26" i="83"/>
  <c r="N25" i="83"/>
  <c r="K33" i="83"/>
  <c r="P26" i="83"/>
  <c r="O26" i="83"/>
  <c r="L26" i="83"/>
  <c r="O25" i="83"/>
  <c r="K26" i="83"/>
  <c r="M25" i="83"/>
  <c r="R26" i="83"/>
  <c r="T26" i="83"/>
  <c r="S25" i="83"/>
  <c r="T25" i="83"/>
  <c r="K32" i="83"/>
  <c r="P25" i="83"/>
  <c r="R25" i="83"/>
  <c r="L25" i="83"/>
  <c r="K25" i="83"/>
  <c r="H6" i="5"/>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F8" i="5"/>
  <c r="G6" i="5"/>
  <c r="G7" i="5" s="1"/>
  <c r="D6" i="5"/>
  <c r="P82" i="18"/>
  <c r="P84" i="18"/>
  <c r="P76" i="18"/>
  <c r="P68" i="18"/>
  <c r="P72" i="18"/>
  <c r="P75" i="18"/>
  <c r="P71" i="18"/>
  <c r="P73" i="18"/>
  <c r="P83" i="18"/>
  <c r="P67" i="18"/>
  <c r="P69" i="18"/>
  <c r="P70" i="18"/>
  <c r="R12" i="83" a="1"/>
  <c r="J7" i="5" l="1"/>
  <c r="J9" i="5" s="1"/>
  <c r="J10" i="5" s="1"/>
  <c r="J11" i="5" s="1"/>
  <c r="J8" i="5"/>
  <c r="R12" i="83"/>
  <c r="P24" i="83"/>
  <c r="Q24" i="83"/>
  <c r="K24" i="83"/>
  <c r="K28" i="83" s="1"/>
  <c r="K31" i="83"/>
  <c r="M24" i="83"/>
  <c r="S24" i="83"/>
  <c r="N24" i="83"/>
  <c r="R24" i="83"/>
  <c r="L24" i="83"/>
  <c r="T24" i="83"/>
  <c r="O24" i="83"/>
  <c r="D7" i="5"/>
  <c r="G8" i="5"/>
  <c r="G9" i="5" s="1"/>
  <c r="G10" i="5" s="1"/>
  <c r="G11" i="5" s="1"/>
  <c r="G12" i="5" s="1"/>
  <c r="G13" i="5" s="1"/>
  <c r="G14" i="5" s="1"/>
  <c r="E8" i="5"/>
  <c r="I7" i="5"/>
  <c r="I8" i="5"/>
  <c r="H8" i="5"/>
  <c r="F7" i="5"/>
  <c r="F9" i="5" s="1"/>
  <c r="F10" i="5" s="1"/>
  <c r="F11" i="5" s="1"/>
  <c r="F12" i="5" s="1"/>
  <c r="F13" i="5" s="1"/>
  <c r="F14" i="5" s="1"/>
  <c r="D8" i="5"/>
  <c r="D9" i="5" l="1"/>
  <c r="J12" i="5"/>
  <c r="J13" i="5" s="1"/>
  <c r="J14" i="5" s="1"/>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exported to unit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<sst xmlns="http://schemas.openxmlformats.org/spreadsheetml/2006/main" count="3420" uniqueCount="1109">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</sst>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0.41275354974375744</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0.16892684333938834</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-58.966661719557564</c:v>
                </c:pt>
                <c:pt idx="7">
                  <c:v>-53.163396473506424</c:v>
                </c:pt>
                <c:pt idx="8">
                  <c:v>-47.887700795278114</c:v>
                </c:pt>
                <c:pt idx="9">
                  <c:v>-43.091613815070559</c:v>
                </c:pt>
                <c:pt idx="10">
                  <c:v>-38.731534742154601</c:v>
                </c:pt>
                <c:pt idx="11">
                  <c:v>-34.767826494049181</c:v>
                </c:pt>
                <c:pt idx="12">
                  <c:v>-31.164455359407896</c:v>
                </c:pt>
                <c:pt idx="13">
                  <c:v>-27.888663418824908</c:v>
                </c:pt>
                <c:pt idx="14">
                  <c:v>-24.910670745567646</c:v>
                </c:pt>
                <c:pt idx="15">
                  <c:v>-22.203404678970138</c:v>
                </c:pt>
                <c:pt idx="16">
                  <c:v>-19.742253709336037</c:v>
                </c:pt>
                <c:pt idx="17">
                  <c:v>-17.5048437369414</c:v>
                </c:pt>
                <c:pt idx="18">
                  <c:v>-15.470834671128094</c:v>
                </c:pt>
                <c:pt idx="19">
                  <c:v>-13.621735520388725</c:v>
                </c:pt>
                <c:pt idx="20">
                  <c:v>-11.940736292443844</c:v>
                </c:pt>
                <c:pt idx="21">
                  <c:v>-10.412555176130317</c:v>
                </c:pt>
                <c:pt idx="22">
                  <c:v>-9.0232996158452927</c:v>
                </c:pt>
                <c:pt idx="23">
                  <c:v>-7.7603400155861797</c:v>
                </c:pt>
                <c:pt idx="24">
                  <c:v>-6.612194924441531</c:v>
                </c:pt>
                <c:pt idx="25">
                  <c:v>-5.5684266597645777</c:v>
                </c:pt>
                <c:pt idx="26">
                  <c:v>-4.6195464191491658</c:v>
                </c:pt>
                <c:pt idx="27">
                  <c:v>-3.7569280185897007</c:v>
                </c:pt>
                <c:pt idx="28">
                  <c:v>-2.9727294726265505</c:v>
                </c:pt>
                <c:pt idx="29">
                  <c:v>-2.2598217035691412</c:v>
                </c:pt>
                <c:pt idx="30">
                  <c:v>-1.6117237316987694</c:v>
                </c:pt>
                <c:pt idx="31">
                  <c:v>-1.0225437572711586</c:v>
                </c:pt>
                <c:pt idx="32">
                  <c:v>-0.48692559870060348</c:v>
                </c:pt>
                <c:pt idx="33">
                  <c:v>-9.8809849191638932E-14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-74.776869083773747</c:v>
                </c:pt>
                <c:pt idx="6">
                  <c:v>-63.467946862958172</c:v>
                </c:pt>
                <c:pt idx="7">
                  <c:v>-52.159024642142597</c:v>
                </c:pt>
                <c:pt idx="8">
                  <c:v>-40.850102421327023</c:v>
                </c:pt>
                <c:pt idx="9">
                  <c:v>-29.541180200511448</c:v>
                </c:pt>
                <c:pt idx="10">
                  <c:v>-18.232257979695873</c:v>
                </c:pt>
                <c:pt idx="11">
                  <c:v>-6.9233357588802988</c:v>
                </c:pt>
                <c:pt idx="12">
                  <c:v>4.3855864619352758</c:v>
                </c:pt>
                <c:pt idx="13">
                  <c:v>15.69450868275085</c:v>
                </c:pt>
                <c:pt idx="14">
                  <c:v>27.003430903566425</c:v>
                </c:pt>
                <c:pt idx="15">
                  <c:v>38.312353124382</c:v>
                </c:pt>
                <c:pt idx="16">
                  <c:v>49.621275345197574</c:v>
                </c:pt>
                <c:pt idx="17">
                  <c:v>60.930197566013149</c:v>
                </c:pt>
                <c:pt idx="18">
                  <c:v>72.239119786828724</c:v>
                </c:pt>
                <c:pt idx="19">
                  <c:v>83.548042007644298</c:v>
                </c:pt>
                <c:pt idx="20">
                  <c:v>94.856964228459873</c:v>
                </c:pt>
                <c:pt idx="21">
                  <c:v>106.16588644927545</c:v>
                </c:pt>
                <c:pt idx="22">
                  <c:v>117.47480867009102</c:v>
                </c:pt>
                <c:pt idx="23">
                  <c:v>128.78373089090661</c:v>
                </c:pt>
                <c:pt idx="24">
                  <c:v>140.0926531117222</c:v>
                </c:pt>
                <c:pt idx="25">
                  <c:v>151.40157533253779</c:v>
                </c:pt>
                <c:pt idx="26">
                  <c:v>162.71049755335338</c:v>
                </c:pt>
                <c:pt idx="27">
                  <c:v>174.01941977416897</c:v>
                </c:pt>
                <c:pt idx="28">
                  <c:v>185.32834199498456</c:v>
                </c:pt>
                <c:pt idx="29">
                  <c:v>196.63726421580014</c:v>
                </c:pt>
                <c:pt idx="30">
                  <c:v>207.94618643661573</c:v>
                </c:pt>
                <c:pt idx="31">
                  <c:v>219.25510865743132</c:v>
                </c:pt>
                <c:pt idx="32">
                  <c:v>230.56403087824691</c:v>
                </c:pt>
                <c:pt idx="33">
                  <c:v>241.8729530990625</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3108960</xdr:colOff>
          <xdr:row>0</xdr:row>
          <xdr:rowOff>365760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900-00000B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3.xml"/><Relationship Id="rId4" Type="http://schemas.openxmlformats.org/officeDocument/2006/relationships/ctrlProp" Target="../ctrlProps/ctrlProp19.xml"/><Relationship Id="rId9"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8.xml"/><Relationship Id="rId4" Type="http://schemas.openxmlformats.org/officeDocument/2006/relationships/drawing" Target="../drawings/drawing10.xml"/><Relationship Id="rId9" Type="http://schemas.openxmlformats.org/officeDocument/2006/relationships/ctrlProp" Target="../ctrlProps/ctrlProp27.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9.xml"/><Relationship Id="rId4" Type="http://schemas.openxmlformats.org/officeDocument/2006/relationships/ctrlProp" Target="../ctrlProps/ctrlProp32.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2.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39" t="s">
        <v>995</v>
      </c>
      <c r="AC2" s="1040"/>
      <c r="AD2" s="1041"/>
      <c r="AE2" s="914"/>
      <c r="AF2" s="914"/>
    </row>
    <row r="3" spans="2:32" ht="18" customHeight="1" x14ac:dyDescent="0.3">
      <c r="B3" s="91"/>
      <c r="C3" s="1042" t="s">
        <v>691</v>
      </c>
      <c r="D3" s="1043"/>
      <c r="E3" s="1043"/>
      <c r="F3" s="1043"/>
      <c r="G3" s="1043"/>
      <c r="H3" s="1043"/>
      <c r="I3" s="1043"/>
      <c r="J3" s="1043"/>
      <c r="K3" s="1043"/>
      <c r="L3" s="1043"/>
      <c r="M3" s="1043"/>
      <c r="N3" s="1043"/>
      <c r="O3" s="1043"/>
      <c r="P3" s="1043"/>
      <c r="Q3" s="1043"/>
      <c r="R3" s="1043"/>
      <c r="S3" s="1043"/>
      <c r="T3" s="1043"/>
      <c r="U3" s="1043"/>
      <c r="V3" s="1043"/>
      <c r="W3" s="1043"/>
      <c r="X3" s="1043"/>
      <c r="Y3" s="1044"/>
      <c r="Z3" s="650"/>
      <c r="AA3" s="923"/>
      <c r="AB3" s="189" t="s">
        <v>359</v>
      </c>
      <c r="AC3" s="189" t="s">
        <v>996</v>
      </c>
      <c r="AD3" s="189" t="s">
        <v>997</v>
      </c>
      <c r="AE3" s="923"/>
      <c r="AF3" s="914"/>
    </row>
    <row r="4" spans="2:32" ht="18" customHeight="1" x14ac:dyDescent="0.3">
      <c r="B4" s="91"/>
      <c r="C4" s="1045"/>
      <c r="D4" s="1046"/>
      <c r="E4" s="1046"/>
      <c r="F4" s="1046"/>
      <c r="G4" s="1046"/>
      <c r="H4" s="1046"/>
      <c r="I4" s="1046"/>
      <c r="J4" s="1046"/>
      <c r="K4" s="1046"/>
      <c r="L4" s="1046"/>
      <c r="M4" s="1046"/>
      <c r="N4" s="1046"/>
      <c r="O4" s="1046"/>
      <c r="P4" s="1046"/>
      <c r="Q4" s="1046"/>
      <c r="R4" s="1046"/>
      <c r="S4" s="1046"/>
      <c r="T4" s="1046"/>
      <c r="U4" s="1046"/>
      <c r="V4" s="1046"/>
      <c r="W4" s="1046"/>
      <c r="X4" s="1046"/>
      <c r="Y4" s="1047"/>
      <c r="Z4" s="641"/>
      <c r="AA4" s="914"/>
      <c r="AB4" s="924"/>
      <c r="AC4" s="925"/>
      <c r="AD4" s="890"/>
      <c r="AE4" s="914"/>
      <c r="AF4" s="914"/>
    </row>
    <row r="5" spans="2:32" ht="18" customHeight="1" x14ac:dyDescent="0.3">
      <c r="B5" s="91"/>
      <c r="C5" s="1048"/>
      <c r="D5" s="1049"/>
      <c r="E5" s="1049"/>
      <c r="F5" s="1049"/>
      <c r="G5" s="1049"/>
      <c r="H5" s="1049"/>
      <c r="I5" s="1049"/>
      <c r="J5" s="1049"/>
      <c r="K5" s="1049"/>
      <c r="L5" s="1049"/>
      <c r="M5" s="1049"/>
      <c r="N5" s="1049"/>
      <c r="O5" s="1049"/>
      <c r="P5" s="1049"/>
      <c r="Q5" s="1049"/>
      <c r="R5" s="1049"/>
      <c r="S5" s="1049"/>
      <c r="T5" s="1049"/>
      <c r="U5" s="1049"/>
      <c r="V5" s="1049"/>
      <c r="W5" s="1049"/>
      <c r="X5" s="1049"/>
      <c r="Y5" s="1050"/>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696</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688</v>
      </c>
      <c r="M8" s="931"/>
      <c r="N8" s="931"/>
      <c r="O8" s="931"/>
      <c r="P8" s="654"/>
      <c r="Z8" s="84"/>
      <c r="AB8" s="926"/>
      <c r="AC8" s="927"/>
      <c r="AD8" s="890"/>
      <c r="AF8" s="914"/>
    </row>
    <row r="9" spans="2:32" ht="18" customHeight="1" x14ac:dyDescent="0.35">
      <c r="B9" s="91"/>
      <c r="C9" s="914"/>
      <c r="J9" s="931"/>
      <c r="K9" s="931"/>
      <c r="L9" s="932" t="s">
        <v>689</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998</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690</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703</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51" t="s">
        <v>706</v>
      </c>
      <c r="D15" s="1052"/>
      <c r="E15" s="1053"/>
      <c r="F15" s="1054" t="s">
        <v>1089</v>
      </c>
      <c r="G15" s="1055"/>
      <c r="H15" s="1055"/>
      <c r="I15" s="1055"/>
      <c r="J15" s="1055"/>
      <c r="K15" s="1055"/>
      <c r="L15" s="1055"/>
      <c r="M15" s="1055"/>
      <c r="N15" s="1055"/>
      <c r="O15" s="1055"/>
      <c r="P15" s="1055"/>
      <c r="Q15" s="1055"/>
      <c r="R15" s="1055"/>
      <c r="S15" s="1055"/>
      <c r="T15" s="1055"/>
      <c r="U15" s="1055"/>
      <c r="V15" s="1055"/>
      <c r="W15" s="1055"/>
      <c r="X15" s="1055"/>
      <c r="Y15" s="1056"/>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39" t="s">
        <v>694</v>
      </c>
      <c r="E18" s="1040"/>
      <c r="F18" s="1040"/>
      <c r="G18" s="1040"/>
      <c r="H18" s="1040"/>
      <c r="I18" s="1040"/>
      <c r="J18" s="1040"/>
      <c r="K18" s="1041"/>
      <c r="L18" s="1057" t="s">
        <v>692</v>
      </c>
      <c r="M18" s="1058"/>
      <c r="N18" s="1058"/>
      <c r="O18" s="1058"/>
      <c r="P18" s="1059"/>
      <c r="Q18" s="641"/>
      <c r="R18" s="914"/>
      <c r="S18" s="400"/>
      <c r="T18" s="1060" t="s">
        <v>699</v>
      </c>
      <c r="U18" s="1061"/>
      <c r="V18" s="1062" t="s">
        <v>697</v>
      </c>
      <c r="W18" s="1063"/>
      <c r="X18" s="1064"/>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60" t="s">
        <v>700</v>
      </c>
      <c r="U19" s="1061"/>
      <c r="V19" s="1062" t="s">
        <v>1107</v>
      </c>
      <c r="W19" s="1063"/>
      <c r="X19" s="1064"/>
      <c r="Y19" s="641"/>
      <c r="Z19" s="641"/>
      <c r="AA19" s="914"/>
      <c r="AB19" s="926"/>
      <c r="AC19" s="927"/>
      <c r="AD19" s="890"/>
      <c r="AE19" s="914"/>
      <c r="AF19" s="914"/>
    </row>
    <row r="20" spans="2:32" ht="18" customHeight="1" x14ac:dyDescent="0.3">
      <c r="B20" s="91"/>
      <c r="C20" s="400"/>
      <c r="D20" s="938" t="s">
        <v>999</v>
      </c>
      <c r="E20" s="938"/>
      <c r="F20" s="938"/>
      <c r="G20" s="938"/>
      <c r="H20" s="652"/>
      <c r="I20" s="938"/>
      <c r="J20" s="938"/>
      <c r="K20" s="938"/>
      <c r="L20" s="938"/>
      <c r="M20" s="938"/>
      <c r="N20" s="938"/>
      <c r="O20" s="938"/>
      <c r="P20" s="938"/>
      <c r="Q20" s="641"/>
      <c r="R20" s="914"/>
      <c r="S20" s="400"/>
      <c r="T20" s="1060" t="s">
        <v>701</v>
      </c>
      <c r="U20" s="1061"/>
      <c r="V20" s="1077" t="s">
        <v>1000</v>
      </c>
      <c r="W20" s="1078"/>
      <c r="X20" s="1079"/>
      <c r="Y20" s="641"/>
      <c r="Z20" s="641"/>
      <c r="AA20" s="914"/>
      <c r="AB20" s="926"/>
      <c r="AC20" s="927"/>
      <c r="AD20" s="890"/>
      <c r="AE20" s="914"/>
      <c r="AF20" s="914"/>
    </row>
    <row r="21" spans="2:32" ht="18" customHeight="1" x14ac:dyDescent="0.3">
      <c r="B21" s="91"/>
      <c r="C21" s="400"/>
      <c r="D21" s="938" t="s">
        <v>1001</v>
      </c>
      <c r="E21" s="938"/>
      <c r="F21" s="938"/>
      <c r="G21" s="938"/>
      <c r="H21" s="652"/>
      <c r="I21" s="938"/>
      <c r="J21" s="938"/>
      <c r="K21" s="938"/>
      <c r="L21" s="938"/>
      <c r="M21" s="938"/>
      <c r="N21" s="938"/>
      <c r="O21" s="938"/>
      <c r="P21" s="938"/>
      <c r="Q21" s="641"/>
      <c r="R21" s="914"/>
      <c r="S21" s="400"/>
      <c r="T21" s="1060" t="s">
        <v>702</v>
      </c>
      <c r="U21" s="1061"/>
      <c r="V21" s="1057" t="s">
        <v>1002</v>
      </c>
      <c r="W21" s="1058"/>
      <c r="X21" s="1059"/>
      <c r="Y21" s="641"/>
      <c r="Z21" s="641"/>
      <c r="AA21" s="914"/>
      <c r="AB21" s="926"/>
      <c r="AC21" s="927"/>
      <c r="AD21" s="890"/>
      <c r="AE21" s="914"/>
      <c r="AF21" s="914"/>
    </row>
    <row r="22" spans="2:32" ht="18" customHeight="1" x14ac:dyDescent="0.3">
      <c r="B22" s="91"/>
      <c r="C22" s="400"/>
      <c r="E22" s="940" t="s">
        <v>1003</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1004</v>
      </c>
      <c r="F23" s="940"/>
      <c r="G23" s="940"/>
      <c r="J23" s="938"/>
      <c r="K23" s="938"/>
      <c r="L23" s="938"/>
      <c r="M23" s="938"/>
      <c r="N23" s="938"/>
      <c r="O23" s="938"/>
      <c r="P23" s="938"/>
      <c r="Q23" s="641"/>
      <c r="R23" s="914"/>
      <c r="S23" s="400"/>
      <c r="T23" s="1065" t="s">
        <v>698</v>
      </c>
      <c r="U23" s="1066"/>
      <c r="V23" s="1066"/>
      <c r="W23" s="1066"/>
      <c r="X23" s="1067"/>
      <c r="Y23" s="641"/>
      <c r="Z23" s="641"/>
      <c r="AA23" s="914"/>
      <c r="AB23" s="926"/>
      <c r="AC23" s="927"/>
      <c r="AD23" s="890"/>
      <c r="AE23" s="914"/>
      <c r="AF23" s="914"/>
    </row>
    <row r="24" spans="2:32" ht="18" customHeight="1" x14ac:dyDescent="0.3">
      <c r="B24" s="91"/>
      <c r="C24" s="400"/>
      <c r="D24" s="938" t="s">
        <v>1005</v>
      </c>
      <c r="E24" s="938"/>
      <c r="F24" s="938"/>
      <c r="G24" s="938"/>
      <c r="H24" s="938"/>
      <c r="I24" s="938"/>
      <c r="J24" s="938"/>
      <c r="K24" s="938"/>
      <c r="L24" s="938"/>
      <c r="M24" s="938"/>
      <c r="N24" s="938"/>
      <c r="O24" s="938"/>
      <c r="P24" s="938"/>
      <c r="Q24" s="641"/>
      <c r="R24" s="914"/>
      <c r="S24" s="400"/>
      <c r="T24" s="1068" t="s">
        <v>1108</v>
      </c>
      <c r="U24" s="1069"/>
      <c r="V24" s="1069"/>
      <c r="W24" s="1069"/>
      <c r="X24" s="1070"/>
      <c r="Y24" s="641"/>
      <c r="Z24" s="641"/>
      <c r="AA24" s="914"/>
      <c r="AB24" s="926"/>
      <c r="AC24" s="927"/>
      <c r="AD24" s="890"/>
      <c r="AE24" s="914"/>
      <c r="AF24" s="914"/>
    </row>
    <row r="25" spans="2:32" ht="18" customHeight="1" x14ac:dyDescent="0.3">
      <c r="B25" s="91"/>
      <c r="C25" s="400"/>
      <c r="D25" s="938" t="s">
        <v>1006</v>
      </c>
      <c r="E25" s="938"/>
      <c r="F25" s="938"/>
      <c r="G25" s="938"/>
      <c r="H25" s="938"/>
      <c r="I25" s="938"/>
      <c r="J25" s="938"/>
      <c r="K25" s="938"/>
      <c r="L25" s="938"/>
      <c r="M25" s="938"/>
      <c r="N25" s="938"/>
      <c r="O25" s="938"/>
      <c r="P25" s="938"/>
      <c r="Q25" s="641"/>
      <c r="R25" s="914"/>
      <c r="S25" s="400"/>
      <c r="T25" s="1071"/>
      <c r="U25" s="1072"/>
      <c r="V25" s="1072"/>
      <c r="W25" s="1072"/>
      <c r="X25" s="1073"/>
      <c r="Y25" s="641"/>
      <c r="Z25" s="641"/>
      <c r="AA25" s="914"/>
      <c r="AB25" s="926"/>
      <c r="AC25" s="927"/>
      <c r="AD25" s="890"/>
      <c r="AE25" s="914"/>
      <c r="AF25" s="914"/>
    </row>
    <row r="26" spans="2:32" ht="18" customHeight="1" x14ac:dyDescent="0.3">
      <c r="B26" s="91"/>
      <c r="C26" s="400"/>
      <c r="D26" s="938" t="s">
        <v>1007</v>
      </c>
      <c r="E26" s="938"/>
      <c r="F26" s="938"/>
      <c r="G26" s="938"/>
      <c r="H26" s="938"/>
      <c r="I26" s="938"/>
      <c r="J26" s="938"/>
      <c r="K26" s="938"/>
      <c r="L26" s="938"/>
      <c r="M26" s="938"/>
      <c r="N26" s="938"/>
      <c r="O26" s="938"/>
      <c r="P26" s="938"/>
      <c r="Q26" s="641"/>
      <c r="R26" s="914"/>
      <c r="S26" s="400"/>
      <c r="T26" s="1071"/>
      <c r="U26" s="1072"/>
      <c r="V26" s="1072"/>
      <c r="W26" s="1072"/>
      <c r="X26" s="1073"/>
      <c r="Y26" s="641"/>
      <c r="Z26" s="641"/>
      <c r="AA26" s="914"/>
      <c r="AB26" s="926"/>
      <c r="AC26" s="927"/>
      <c r="AD26" s="890"/>
      <c r="AE26" s="914"/>
      <c r="AF26" s="914"/>
    </row>
    <row r="27" spans="2:32" ht="18" customHeight="1" x14ac:dyDescent="0.3">
      <c r="B27" s="91"/>
      <c r="C27" s="400"/>
      <c r="D27" s="938" t="s">
        <v>1008</v>
      </c>
      <c r="E27" s="938"/>
      <c r="F27" s="938"/>
      <c r="G27" s="938"/>
      <c r="H27" s="938"/>
      <c r="I27" s="938"/>
      <c r="J27" s="938"/>
      <c r="K27" s="938"/>
      <c r="L27" s="938"/>
      <c r="M27" s="938"/>
      <c r="N27" s="938"/>
      <c r="O27" s="938"/>
      <c r="P27" s="938"/>
      <c r="Q27" s="641"/>
      <c r="R27" s="914"/>
      <c r="S27" s="400"/>
      <c r="T27" s="1074"/>
      <c r="U27" s="1075"/>
      <c r="V27" s="1075"/>
      <c r="W27" s="1075"/>
      <c r="X27" s="1076"/>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1009</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1010</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1011</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1012</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Q30" sqref="Q30"/>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94" t="s">
        <v>658</v>
      </c>
      <c r="D3" s="1095"/>
      <c r="E3" s="1095"/>
      <c r="F3" s="1095"/>
      <c r="G3" s="1095"/>
      <c r="H3" s="1095"/>
      <c r="I3" s="1095"/>
      <c r="J3" s="1095"/>
      <c r="K3" s="1096"/>
      <c r="L3" s="106"/>
      <c r="M3" s="105"/>
      <c r="N3" s="120"/>
      <c r="O3" s="1097" t="str">
        <f>+E6&amp;" Diagram"</f>
        <v>GSR-H₂  Diagram</v>
      </c>
      <c r="P3" s="1098"/>
      <c r="Q3" s="1098"/>
      <c r="R3" s="1098"/>
      <c r="S3" s="1098"/>
      <c r="T3" s="1098"/>
      <c r="U3" s="1098"/>
      <c r="V3" s="1098"/>
      <c r="W3" s="1098"/>
      <c r="X3" s="1098"/>
      <c r="Y3" s="1098"/>
      <c r="Z3" s="1098"/>
      <c r="AA3" s="1099"/>
      <c r="AB3" s="113"/>
      <c r="AC3" s="105"/>
      <c r="AD3" s="105"/>
      <c r="AE3" s="1120" t="str">
        <f>+E6&amp;" Stream Summary"</f>
        <v>GSR-H₂  Stream Summary</v>
      </c>
      <c r="AF3" s="1120"/>
      <c r="AG3" s="1120"/>
      <c r="AH3" s="1120"/>
      <c r="AI3" s="1120"/>
      <c r="AJ3" s="1120"/>
      <c r="AK3" s="1120"/>
      <c r="AL3" s="1120"/>
      <c r="AM3" s="1120"/>
      <c r="AN3" s="1120"/>
      <c r="AO3" s="1120"/>
      <c r="AP3" s="112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02" t="s">
        <v>593</v>
      </c>
      <c r="E5" s="1102"/>
      <c r="F5" s="105"/>
      <c r="G5" s="92"/>
      <c r="H5" s="92"/>
      <c r="I5" s="1100" t="s">
        <v>267</v>
      </c>
      <c r="J5" s="1101"/>
      <c r="K5" s="105"/>
      <c r="L5" s="106"/>
      <c r="M5" s="105"/>
      <c r="N5" s="120"/>
      <c r="O5" s="112"/>
      <c r="P5" s="112"/>
      <c r="Q5" s="112"/>
      <c r="R5" s="112"/>
      <c r="S5" s="112"/>
      <c r="T5" s="112"/>
      <c r="U5" s="112"/>
      <c r="V5" s="112"/>
      <c r="W5" s="112"/>
      <c r="X5" s="112"/>
      <c r="Y5" s="112"/>
      <c r="Z5" s="112"/>
      <c r="AA5" s="112"/>
      <c r="AB5" s="113"/>
      <c r="AC5" s="105"/>
      <c r="AD5" s="92"/>
      <c r="AE5" s="705"/>
      <c r="AF5" s="1103" t="s">
        <v>813</v>
      </c>
      <c r="AG5" s="1104"/>
      <c r="AH5" s="1105"/>
      <c r="AI5" s="1103" t="s">
        <v>925</v>
      </c>
      <c r="AJ5" s="1104"/>
      <c r="AK5" s="1104"/>
      <c r="AL5" s="1104"/>
      <c r="AM5" s="1104"/>
      <c r="AN5" s="1104"/>
      <c r="AO5" s="1104"/>
      <c r="AP5" s="1105"/>
      <c r="AQ5" s="705"/>
      <c r="AR5" s="705"/>
    </row>
    <row r="6" spans="1:71" ht="22.2" customHeight="1" x14ac:dyDescent="0.3">
      <c r="A6" s="83"/>
      <c r="B6" s="104"/>
      <c r="C6" s="105"/>
      <c r="D6" s="547" t="s">
        <v>674</v>
      </c>
      <c r="E6" s="535" t="s">
        <v>1088</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724</v>
      </c>
      <c r="AF6" s="701" t="s">
        <v>922</v>
      </c>
      <c r="AG6" s="876" t="s">
        <v>923</v>
      </c>
      <c r="AH6" s="876" t="s">
        <v>924</v>
      </c>
      <c r="AI6" s="703" t="s">
        <v>732</v>
      </c>
      <c r="AJ6" s="877" t="s">
        <v>926</v>
      </c>
      <c r="AK6" s="877" t="s">
        <v>927</v>
      </c>
      <c r="AL6" s="877" t="s">
        <v>928</v>
      </c>
      <c r="AM6" s="877" t="s">
        <v>929</v>
      </c>
      <c r="AN6" s="877" t="s">
        <v>930</v>
      </c>
      <c r="AO6" s="877" t="s">
        <v>364</v>
      </c>
      <c r="AP6" s="877" t="s">
        <v>931</v>
      </c>
      <c r="AQ6" s="105"/>
      <c r="AR6" s="83"/>
      <c r="AS6" s="83"/>
    </row>
    <row r="7" spans="1:71" ht="22.2" customHeight="1" x14ac:dyDescent="0.3">
      <c r="A7" s="83"/>
      <c r="B7" s="104"/>
      <c r="C7" s="105"/>
      <c r="D7" s="553" t="s">
        <v>476</v>
      </c>
      <c r="E7" s="583" t="s">
        <v>487</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572</v>
      </c>
      <c r="E9" s="585" t="s">
        <v>455</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7" t="str">
        <f>+E6&amp;": Mass &amp; Energy Balance"</f>
        <v>GSR-H₂ : Mass &amp; Energy Balance</v>
      </c>
      <c r="D12" s="1098"/>
      <c r="E12" s="1098"/>
      <c r="F12" s="1098"/>
      <c r="G12" s="1098"/>
      <c r="H12" s="1098"/>
      <c r="I12" s="1098"/>
      <c r="J12" s="1098"/>
      <c r="K12" s="1099"/>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728</v>
      </c>
      <c r="E14" s="87" t="s">
        <v>733</v>
      </c>
      <c r="F14" s="474"/>
      <c r="G14" s="105"/>
      <c r="H14" s="87" t="s">
        <v>755</v>
      </c>
      <c r="I14" s="713" t="s">
        <v>456</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730</v>
      </c>
      <c r="E15" s="754">
        <v>6.4347023093290403</v>
      </c>
      <c r="F15" s="478"/>
      <c r="G15" s="105"/>
      <c r="H15" s="987" t="s">
        <v>1072</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1067</v>
      </c>
      <c r="E16" s="755">
        <v>1.153</v>
      </c>
      <c r="F16" s="478"/>
      <c r="G16" s="105"/>
      <c r="H16" s="987" t="s">
        <v>1073</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729</v>
      </c>
      <c r="E17" s="755">
        <v>4.2395093680494798</v>
      </c>
      <c r="F17" s="478"/>
      <c r="G17" s="105"/>
      <c r="H17" s="988" t="s">
        <v>1074</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1049</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1068</v>
      </c>
      <c r="E19" s="755">
        <v>9.6509999999999999E-2</v>
      </c>
      <c r="F19" s="478"/>
      <c r="G19" s="105"/>
      <c r="H19" s="685" t="s">
        <v>759</v>
      </c>
      <c r="I19" s="766" t="s">
        <v>456</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1069</v>
      </c>
      <c r="E20" s="170">
        <v>2.6270000000000002E-2</v>
      </c>
      <c r="F20" s="478"/>
      <c r="G20" s="105"/>
      <c r="H20" s="987" t="s">
        <v>760</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1070</v>
      </c>
      <c r="E21" s="755">
        <v>7.51335346342238</v>
      </c>
      <c r="F21" s="478"/>
      <c r="G21" s="105"/>
      <c r="H21" s="988" t="s">
        <v>761</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731</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750</v>
      </c>
      <c r="E23" s="756">
        <f>+E21-SUM(E15:E20)</f>
        <v>-5.0062254436550084</v>
      </c>
      <c r="F23" s="478"/>
      <c r="G23" s="696"/>
      <c r="H23" s="685" t="s">
        <v>764</v>
      </c>
      <c r="I23" s="774" t="s">
        <v>733</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763</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762</v>
      </c>
      <c r="E25" s="773" t="s">
        <v>456</v>
      </c>
      <c r="F25" s="478"/>
      <c r="G25" s="696"/>
      <c r="H25" s="986" t="s">
        <v>1071</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1059</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1060</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1061</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1058</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359</v>
      </c>
      <c r="I31" s="547" t="s">
        <v>664</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1066</v>
      </c>
      <c r="I32" s="769">
        <v>0.95421999806197799</v>
      </c>
      <c r="J32" s="535" t="s">
        <v>743</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7" t="str">
        <f>+E6&amp;": Environmental Performance"</f>
        <v>GSR-H₂ : Environmental Performance</v>
      </c>
      <c r="D34" s="1098"/>
      <c r="E34" s="1098"/>
      <c r="F34" s="1098"/>
      <c r="G34" s="1098"/>
      <c r="H34" s="1098"/>
      <c r="I34" s="1098"/>
      <c r="J34" s="1098"/>
      <c r="K34" s="1099"/>
      <c r="L34" s="106"/>
      <c r="M34" s="105"/>
      <c r="N34" s="116"/>
      <c r="O34" s="1097" t="str">
        <f>+E6</f>
        <v xml:space="preserve">GSR-H₂ </v>
      </c>
      <c r="P34" s="1098"/>
      <c r="Q34" s="1098"/>
      <c r="R34" s="1098"/>
      <c r="S34" s="1098"/>
      <c r="T34" s="1099"/>
      <c r="U34" s="92"/>
      <c r="V34" s="1097" t="s">
        <v>684</v>
      </c>
      <c r="W34" s="1098"/>
      <c r="X34" s="1098"/>
      <c r="Y34" s="1098"/>
      <c r="Z34" s="1098"/>
      <c r="AA34" s="1099"/>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1086</v>
      </c>
      <c r="E36" s="713" t="s">
        <v>743</v>
      </c>
      <c r="F36" s="148"/>
      <c r="G36" s="105"/>
      <c r="H36" s="87" t="s">
        <v>734</v>
      </c>
      <c r="I36" s="713" t="s">
        <v>735</v>
      </c>
      <c r="J36" s="474"/>
      <c r="K36" s="152"/>
      <c r="L36" s="106"/>
      <c r="M36" s="105"/>
      <c r="N36" s="120"/>
      <c r="O36" s="1065" t="s">
        <v>579</v>
      </c>
      <c r="P36" s="1066"/>
      <c r="Q36" s="1066"/>
      <c r="R36" s="1066"/>
      <c r="S36" s="1066"/>
      <c r="T36" s="1067"/>
      <c r="U36" s="92"/>
      <c r="V36" s="582" t="s">
        <v>359</v>
      </c>
      <c r="W36" s="631" t="s">
        <v>588</v>
      </c>
      <c r="X36" s="1121" t="s">
        <v>579</v>
      </c>
      <c r="Y36" s="1121"/>
      <c r="Z36" s="1121"/>
      <c r="AA36" s="112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737</v>
      </c>
      <c r="E37" s="828">
        <v>6.92840135508842</v>
      </c>
      <c r="F37" s="256"/>
      <c r="G37" s="105"/>
      <c r="H37" s="987" t="s">
        <v>748</v>
      </c>
      <c r="I37" s="750">
        <v>5.6800000000000003E-2</v>
      </c>
      <c r="J37" s="148"/>
      <c r="K37" s="152"/>
      <c r="L37" s="106"/>
      <c r="M37" s="105"/>
      <c r="N37" s="120"/>
      <c r="O37" s="1109" t="s">
        <v>1082</v>
      </c>
      <c r="P37" s="1110"/>
      <c r="Q37" s="1110"/>
      <c r="R37" s="1110"/>
      <c r="S37" s="1110"/>
      <c r="T37" s="1111"/>
      <c r="U37" s="112"/>
      <c r="V37" s="694" t="s">
        <v>932</v>
      </c>
      <c r="W37" s="535" t="s">
        <v>240</v>
      </c>
      <c r="X37" s="1118" t="s">
        <v>933</v>
      </c>
      <c r="Y37" s="1118"/>
      <c r="Z37" s="1118"/>
      <c r="AA37" s="1119"/>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738</v>
      </c>
      <c r="E38" s="775">
        <v>6.3544999999999999E-3</v>
      </c>
      <c r="F38" s="256"/>
      <c r="G38" s="105"/>
      <c r="H38" s="987" t="s">
        <v>747</v>
      </c>
      <c r="I38" s="751">
        <v>9.2299999999999993E-2</v>
      </c>
      <c r="J38" s="256"/>
      <c r="K38" s="152"/>
      <c r="L38" s="106"/>
      <c r="M38" s="105"/>
      <c r="N38" s="120"/>
      <c r="O38" s="1112"/>
      <c r="P38" s="1113"/>
      <c r="Q38" s="1113"/>
      <c r="R38" s="1113"/>
      <c r="S38" s="1113"/>
      <c r="T38" s="1114"/>
      <c r="U38" s="112"/>
      <c r="V38" s="373" t="s">
        <v>768</v>
      </c>
      <c r="W38" s="535" t="s">
        <v>452</v>
      </c>
      <c r="X38" s="1108" t="s">
        <v>836</v>
      </c>
      <c r="Y38" s="1108"/>
      <c r="Z38" s="1108"/>
      <c r="AA38" s="1108"/>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739</v>
      </c>
      <c r="E39" s="775">
        <v>0.28674120022430499</v>
      </c>
      <c r="F39" s="256"/>
      <c r="G39" s="105"/>
      <c r="H39" s="988" t="s">
        <v>749</v>
      </c>
      <c r="I39" s="752">
        <v>6.3299999999999995E-2</v>
      </c>
      <c r="J39" s="148"/>
      <c r="K39" s="152"/>
      <c r="L39" s="106"/>
      <c r="M39" s="105"/>
      <c r="N39" s="120"/>
      <c r="O39" s="1112"/>
      <c r="P39" s="1113"/>
      <c r="Q39" s="1113"/>
      <c r="R39" s="1113"/>
      <c r="S39" s="1113"/>
      <c r="T39" s="1114"/>
      <c r="U39" s="112"/>
      <c r="V39" s="500" t="s">
        <v>993</v>
      </c>
      <c r="W39" s="535" t="s">
        <v>453</v>
      </c>
      <c r="X39" s="1108" t="s">
        <v>994</v>
      </c>
      <c r="Y39" s="1108"/>
      <c r="Z39" s="1108"/>
      <c r="AA39" s="1108"/>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740</v>
      </c>
      <c r="E40" s="775">
        <v>5.9359385327950299E-2</v>
      </c>
      <c r="F40" s="256"/>
      <c r="G40" s="105"/>
      <c r="J40" s="148"/>
      <c r="K40" s="152"/>
      <c r="L40" s="106"/>
      <c r="M40" s="105"/>
      <c r="N40" s="120"/>
      <c r="O40" s="1112"/>
      <c r="P40" s="1113"/>
      <c r="Q40" s="1113"/>
      <c r="R40" s="1113"/>
      <c r="S40" s="1113"/>
      <c r="T40" s="1114"/>
      <c r="U40" s="112"/>
      <c r="V40" s="694" t="s">
        <v>770</v>
      </c>
      <c r="W40" s="535" t="s">
        <v>454</v>
      </c>
      <c r="X40" s="1118" t="s">
        <v>934</v>
      </c>
      <c r="Y40" s="1118"/>
      <c r="Z40" s="1118"/>
      <c r="AA40" s="1119"/>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864</v>
      </c>
      <c r="E41" s="225">
        <v>7.6432461281616099E-2</v>
      </c>
      <c r="F41" s="256"/>
      <c r="G41" s="105"/>
      <c r="H41" s="685" t="s">
        <v>745</v>
      </c>
      <c r="I41" s="713" t="s">
        <v>744</v>
      </c>
      <c r="J41" s="148"/>
      <c r="K41" s="152"/>
      <c r="L41" s="106"/>
      <c r="M41" s="105"/>
      <c r="N41" s="120"/>
      <c r="O41" s="1112"/>
      <c r="P41" s="1113"/>
      <c r="Q41" s="1113"/>
      <c r="R41" s="1113"/>
      <c r="S41" s="1113"/>
      <c r="T41" s="1114"/>
      <c r="U41" s="112"/>
      <c r="V41" s="694" t="s">
        <v>1048</v>
      </c>
      <c r="W41" s="535" t="s">
        <v>769</v>
      </c>
      <c r="X41" s="1106" t="s">
        <v>936</v>
      </c>
      <c r="Y41" s="1106"/>
      <c r="Z41" s="1106"/>
      <c r="AA41" s="1107"/>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741</v>
      </c>
      <c r="E42" s="776">
        <f>+E39-E38+E40+E41</f>
        <v>0.41617854683387145</v>
      </c>
      <c r="F42" s="256"/>
      <c r="G42" s="105"/>
      <c r="H42" s="990" t="s">
        <v>1083</v>
      </c>
      <c r="I42" s="709">
        <v>73.44</v>
      </c>
      <c r="J42" s="148"/>
      <c r="K42" s="152"/>
      <c r="L42" s="106"/>
      <c r="M42" s="105"/>
      <c r="N42" s="120"/>
      <c r="O42" s="1112"/>
      <c r="P42" s="1113"/>
      <c r="Q42" s="1113"/>
      <c r="R42" s="1113"/>
      <c r="S42" s="1113"/>
      <c r="T42" s="1114"/>
      <c r="U42" s="112"/>
      <c r="V42" s="500" t="s">
        <v>1049</v>
      </c>
      <c r="W42" s="535" t="s">
        <v>773</v>
      </c>
      <c r="X42" s="1118" t="s">
        <v>935</v>
      </c>
      <c r="Y42" s="1118"/>
      <c r="Z42" s="1118"/>
      <c r="AA42" s="1119"/>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751</v>
      </c>
      <c r="E43" s="713" t="s">
        <v>456</v>
      </c>
      <c r="F43" s="256"/>
      <c r="G43" s="696"/>
      <c r="H43" s="987" t="s">
        <v>1084</v>
      </c>
      <c r="I43" s="763">
        <v>70.11</v>
      </c>
      <c r="J43" s="696"/>
      <c r="K43" s="152"/>
      <c r="L43" s="106"/>
      <c r="M43" s="105"/>
      <c r="N43" s="120"/>
      <c r="O43" s="1112"/>
      <c r="P43" s="1113"/>
      <c r="Q43" s="1113"/>
      <c r="R43" s="1113"/>
      <c r="S43" s="1113"/>
      <c r="T43" s="1114"/>
      <c r="U43" s="112"/>
      <c r="V43" s="778" t="s">
        <v>868</v>
      </c>
      <c r="W43" s="535" t="s">
        <v>937</v>
      </c>
      <c r="X43" s="1108" t="s">
        <v>938</v>
      </c>
      <c r="Y43" s="1108"/>
      <c r="Z43" s="1108"/>
      <c r="AA43" s="1108"/>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742</v>
      </c>
      <c r="E44" s="767">
        <f>+E37/(E58*I58/1000)/I37</f>
        <v>0.94563882051171866</v>
      </c>
      <c r="F44" s="478"/>
      <c r="G44" s="696"/>
      <c r="H44" s="988" t="s">
        <v>1085</v>
      </c>
      <c r="I44" s="757">
        <v>71.11</v>
      </c>
      <c r="J44" s="696"/>
      <c r="K44" s="152"/>
      <c r="L44" s="106"/>
      <c r="M44" s="105"/>
      <c r="N44" s="120"/>
      <c r="O44" s="1112"/>
      <c r="P44" s="1113"/>
      <c r="Q44" s="1113"/>
      <c r="R44" s="1113"/>
      <c r="S44" s="1113"/>
      <c r="T44" s="1114"/>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746</v>
      </c>
      <c r="E45" s="829">
        <f>+E37/(E58*I58/1000*I37-E22*I39-E23*I38)</f>
        <v>0.90201499459251622</v>
      </c>
      <c r="F45" s="209"/>
      <c r="G45" s="696"/>
      <c r="J45" s="696"/>
      <c r="K45" s="152"/>
      <c r="L45" s="106"/>
      <c r="M45" s="105"/>
      <c r="N45" s="120"/>
      <c r="O45" s="1112"/>
      <c r="P45" s="1113"/>
      <c r="Q45" s="1113"/>
      <c r="R45" s="1113"/>
      <c r="S45" s="1113"/>
      <c r="T45" s="1114"/>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756</v>
      </c>
      <c r="E46" s="768">
        <f>+E37/(E58*I58/1000*I37-I38*E23)</f>
        <v>0.88953804240251977</v>
      </c>
      <c r="F46" s="470"/>
      <c r="G46" s="696"/>
      <c r="H46" s="87" t="s">
        <v>765</v>
      </c>
      <c r="I46" s="87" t="s">
        <v>1054</v>
      </c>
      <c r="J46" s="696"/>
      <c r="K46" s="152"/>
      <c r="L46" s="106"/>
      <c r="M46" s="105"/>
      <c r="N46" s="120"/>
      <c r="O46" s="1112"/>
      <c r="P46" s="1113"/>
      <c r="Q46" s="1113"/>
      <c r="R46" s="1113"/>
      <c r="S46" s="1113"/>
      <c r="T46" s="1114"/>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765</v>
      </c>
      <c r="I47" s="776">
        <f>+(1/E27-1/I16)/(I43-E50)*1000</f>
        <v>-0.74356273005470708</v>
      </c>
      <c r="J47" s="92"/>
      <c r="K47" s="152"/>
      <c r="L47" s="106"/>
      <c r="M47" s="105"/>
      <c r="N47" s="120"/>
      <c r="O47" s="1112"/>
      <c r="P47" s="1113"/>
      <c r="Q47" s="1113"/>
      <c r="R47" s="1113"/>
      <c r="S47" s="1113"/>
      <c r="T47" s="1114"/>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767</v>
      </c>
      <c r="E48" s="713" t="s">
        <v>744</v>
      </c>
      <c r="F48" s="470"/>
      <c r="G48" s="696"/>
      <c r="H48" s="983" t="s">
        <v>766</v>
      </c>
      <c r="I48" s="776">
        <f>+(1/E28-1/I17)/(I44-E51)*1000</f>
        <v>-1.1170161802002263</v>
      </c>
      <c r="J48" s="92"/>
      <c r="K48" s="152"/>
      <c r="L48" s="106"/>
      <c r="M48" s="105"/>
      <c r="N48" s="120"/>
      <c r="O48" s="1112"/>
      <c r="P48" s="1113"/>
      <c r="Q48" s="1113"/>
      <c r="R48" s="1113"/>
      <c r="S48" s="1113"/>
      <c r="T48" s="1114"/>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1063</v>
      </c>
      <c r="E49" s="217">
        <f>+$E$42*1000/($I$32*$I$59/1000)</f>
        <v>3.6342135539052891</v>
      </c>
      <c r="F49" s="470"/>
      <c r="G49" s="696"/>
      <c r="H49" s="92"/>
      <c r="I49" s="92"/>
      <c r="J49" s="92"/>
      <c r="K49" s="152"/>
      <c r="L49" s="106"/>
      <c r="M49" s="105"/>
      <c r="N49" s="120"/>
      <c r="O49" s="1112"/>
      <c r="P49" s="1113"/>
      <c r="Q49" s="1113"/>
      <c r="R49" s="1113"/>
      <c r="S49" s="1113"/>
      <c r="T49" s="1114"/>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1064</v>
      </c>
      <c r="E50" s="417">
        <f>+($E$42-E23*I38-E22*I39)*1000/($I$32*$I$59/1000)</f>
        <v>6.7284143549006759</v>
      </c>
      <c r="F50" s="696"/>
      <c r="G50" s="696"/>
      <c r="H50" s="92"/>
      <c r="I50" s="92"/>
      <c r="J50" s="92"/>
      <c r="K50" s="152"/>
      <c r="L50" s="106"/>
      <c r="M50" s="105"/>
      <c r="N50" s="120"/>
      <c r="O50" s="1112"/>
      <c r="P50" s="1113"/>
      <c r="Q50" s="1113"/>
      <c r="R50" s="1113"/>
      <c r="S50" s="1113"/>
      <c r="T50" s="1114"/>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1065</v>
      </c>
      <c r="E51" s="225">
        <f>+($E$42-E23*I38)*1000/($E$58*$I$58/1000)</f>
        <v>6.8086390157703143</v>
      </c>
      <c r="F51" s="696"/>
      <c r="G51" s="696"/>
      <c r="K51" s="152"/>
      <c r="L51" s="106"/>
      <c r="M51" s="105"/>
      <c r="N51" s="120"/>
      <c r="O51" s="1112"/>
      <c r="P51" s="1113"/>
      <c r="Q51" s="1113"/>
      <c r="R51" s="1113"/>
      <c r="S51" s="1113"/>
      <c r="T51" s="1114"/>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359</v>
      </c>
      <c r="I52" s="547" t="s">
        <v>664</v>
      </c>
      <c r="J52" s="524" t="s">
        <v>235</v>
      </c>
      <c r="K52" s="152"/>
      <c r="L52" s="106"/>
      <c r="M52" s="105"/>
      <c r="N52" s="120"/>
      <c r="O52" s="1112"/>
      <c r="P52" s="1113"/>
      <c r="Q52" s="1113"/>
      <c r="R52" s="1113"/>
      <c r="S52" s="1113"/>
      <c r="T52" s="1114"/>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736</v>
      </c>
      <c r="I53" s="777">
        <f>+E42</f>
        <v>0.41617854683387145</v>
      </c>
      <c r="J53" s="535" t="s">
        <v>743</v>
      </c>
      <c r="K53" s="152"/>
      <c r="L53" s="106"/>
      <c r="M53" s="105"/>
      <c r="N53" s="120"/>
      <c r="O53" s="1112"/>
      <c r="P53" s="1113"/>
      <c r="Q53" s="1113"/>
      <c r="R53" s="1113"/>
      <c r="S53" s="1113"/>
      <c r="T53" s="1114"/>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5"/>
      <c r="P54" s="1116"/>
      <c r="Q54" s="1116"/>
      <c r="R54" s="1116"/>
      <c r="S54" s="1116"/>
      <c r="T54" s="1117"/>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7" t="str">
        <f>+E6&amp;" Fuel / Raw Materials"</f>
        <v>GSR-H₂  Fuel / Raw Materials</v>
      </c>
      <c r="D55" s="1098"/>
      <c r="E55" s="1098"/>
      <c r="F55" s="1098"/>
      <c r="G55" s="1098"/>
      <c r="H55" s="1098"/>
      <c r="I55" s="1098"/>
      <c r="J55" s="1098"/>
      <c r="K55" s="1099"/>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7" t="s">
        <v>720</v>
      </c>
      <c r="P56" s="1098"/>
      <c r="Q56" s="1098"/>
      <c r="R56" s="1098"/>
      <c r="S56" s="1098"/>
      <c r="T56" s="1099"/>
      <c r="U56" s="105"/>
      <c r="V56" s="1094" t="s">
        <v>726</v>
      </c>
      <c r="W56" s="1095"/>
      <c r="X56" s="1095"/>
      <c r="Y56" s="1095"/>
      <c r="Z56" s="1095"/>
      <c r="AA56" s="1096"/>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382</v>
      </c>
      <c r="E57" s="713" t="s">
        <v>743</v>
      </c>
      <c r="F57" s="87" t="s">
        <v>752</v>
      </c>
      <c r="G57" s="105"/>
      <c r="H57" s="87" t="s">
        <v>752</v>
      </c>
      <c r="I57" s="713" t="s">
        <v>754</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753</v>
      </c>
      <c r="I58" s="490">
        <v>46500</v>
      </c>
      <c r="J58" s="148"/>
      <c r="K58" s="152"/>
      <c r="L58" s="106"/>
      <c r="M58" s="83"/>
      <c r="N58" s="104"/>
      <c r="O58" s="91"/>
      <c r="T58" s="84"/>
      <c r="U58" s="105"/>
      <c r="V58" s="104"/>
      <c r="W58" s="1087" t="s">
        <v>721</v>
      </c>
      <c r="X58" s="1087"/>
      <c r="Y58" s="1087"/>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757</v>
      </c>
      <c r="E59" s="764">
        <f>+(E58*I58/1000-E23/I20-E22/I21)/I58*1000</f>
        <v>2.9066977107216942</v>
      </c>
      <c r="F59" s="851">
        <f t="shared" ref="F59:F60" si="4">+E59*$I$58/1000</f>
        <v>135.16144354855876</v>
      </c>
      <c r="G59" s="105"/>
      <c r="H59" s="988" t="s">
        <v>1066</v>
      </c>
      <c r="I59" s="493">
        <v>120010.910768182</v>
      </c>
      <c r="J59" s="256"/>
      <c r="K59" s="152"/>
      <c r="L59" s="106"/>
      <c r="M59" s="83"/>
      <c r="N59" s="104"/>
      <c r="O59" s="91"/>
      <c r="P59" s="1123" t="s">
        <v>1077</v>
      </c>
      <c r="Q59" s="1124"/>
      <c r="R59" s="1125"/>
      <c r="S59" s="1129"/>
      <c r="T59" s="84"/>
      <c r="U59" s="105"/>
      <c r="V59" s="104"/>
      <c r="W59" s="1088" t="s">
        <v>577</v>
      </c>
      <c r="X59" s="706"/>
      <c r="Y59" s="1090" t="s">
        <v>578</v>
      </c>
      <c r="Z59" s="1092">
        <v>22</v>
      </c>
      <c r="AA59" s="106"/>
      <c r="AB59" s="106"/>
      <c r="AC59" s="83"/>
      <c r="AD59" s="83"/>
      <c r="AG59" s="83"/>
      <c r="AH59" s="83"/>
      <c r="AI59" s="83"/>
      <c r="AK59" s="83"/>
      <c r="AL59" s="83"/>
      <c r="AM59" s="698"/>
      <c r="AN59" s="698"/>
      <c r="AO59" s="83"/>
      <c r="AP59" s="83"/>
    </row>
    <row r="60" spans="1:42" ht="22.2" customHeight="1" x14ac:dyDescent="0.3">
      <c r="A60" s="83"/>
      <c r="B60" s="91"/>
      <c r="C60" s="116"/>
      <c r="D60" s="986" t="s">
        <v>758</v>
      </c>
      <c r="E60" s="765">
        <f>+(E58*I58/1000-E23/I20-E22/I21*0)/I58*1000</f>
        <v>2.9473667668746217</v>
      </c>
      <c r="F60" s="852">
        <f t="shared" si="4"/>
        <v>137.05255465966991</v>
      </c>
      <c r="G60" s="105"/>
      <c r="H60" s="148"/>
      <c r="I60" s="148"/>
      <c r="J60" s="148"/>
      <c r="K60" s="152"/>
      <c r="L60" s="106"/>
      <c r="M60" s="83"/>
      <c r="N60" s="104"/>
      <c r="O60" s="91"/>
      <c r="P60" s="1126"/>
      <c r="Q60" s="1127"/>
      <c r="R60" s="1128"/>
      <c r="S60" s="1130"/>
      <c r="T60" s="84"/>
      <c r="U60" s="105"/>
      <c r="V60" s="104"/>
      <c r="W60" s="1089"/>
      <c r="X60" s="707"/>
      <c r="Y60" s="1091"/>
      <c r="Z60" s="1093"/>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920</v>
      </c>
      <c r="E62" s="87" t="s">
        <v>921</v>
      </c>
      <c r="F62" s="256"/>
      <c r="G62" s="105"/>
      <c r="H62" s="148"/>
      <c r="I62" s="148"/>
      <c r="J62" s="148"/>
      <c r="K62" s="152"/>
      <c r="L62" s="106"/>
      <c r="M62" s="83"/>
      <c r="N62" s="104"/>
      <c r="O62" s="91"/>
      <c r="P62" s="1123" t="s">
        <v>1078</v>
      </c>
      <c r="Q62" s="1124"/>
      <c r="R62" s="1125"/>
      <c r="S62" s="1129"/>
      <c r="T62" s="84"/>
      <c r="U62" s="105"/>
      <c r="V62" s="104"/>
      <c r="W62" s="1084" t="s">
        <v>723</v>
      </c>
      <c r="X62" s="1085"/>
      <c r="Y62" s="1086"/>
      <c r="Z62" s="589" t="s">
        <v>342</v>
      </c>
      <c r="AA62" s="106"/>
      <c r="AB62" s="106"/>
      <c r="AC62" s="83"/>
      <c r="AD62" s="83"/>
      <c r="AG62" s="83"/>
      <c r="AI62" s="83"/>
      <c r="AK62" s="83"/>
      <c r="AM62" s="83"/>
      <c r="AN62" s="83"/>
      <c r="AO62" s="83"/>
      <c r="AP62" s="83"/>
    </row>
    <row r="63" spans="1:42" ht="22.2" customHeight="1" x14ac:dyDescent="0.3">
      <c r="A63" s="83"/>
      <c r="B63" s="91"/>
      <c r="C63" s="150"/>
      <c r="D63" s="384" t="s">
        <v>732</v>
      </c>
      <c r="E63" s="853">
        <v>0.89</v>
      </c>
      <c r="F63" s="256"/>
      <c r="G63" s="105"/>
      <c r="H63" s="148"/>
      <c r="I63" s="148"/>
      <c r="J63" s="148"/>
      <c r="K63" s="152"/>
      <c r="L63" s="106"/>
      <c r="M63" s="83"/>
      <c r="N63" s="104"/>
      <c r="O63" s="91"/>
      <c r="P63" s="1126"/>
      <c r="Q63" s="1127"/>
      <c r="R63" s="1128"/>
      <c r="S63" s="1130"/>
      <c r="T63" s="84"/>
      <c r="U63" s="105"/>
      <c r="V63" s="104"/>
      <c r="W63" s="1088" t="str">
        <f>+W59</f>
        <v>ADD</v>
      </c>
      <c r="X63" s="1080"/>
      <c r="Y63" s="1090" t="str">
        <f>+Y59</f>
        <v>REMOVE</v>
      </c>
      <c r="Z63" s="1092">
        <v>3</v>
      </c>
      <c r="AA63" s="106"/>
      <c r="AB63" s="106"/>
      <c r="AC63" s="83"/>
      <c r="AD63" s="83"/>
      <c r="AG63" s="83"/>
      <c r="AM63" s="83"/>
      <c r="AN63" s="83"/>
      <c r="AO63" s="83"/>
      <c r="AP63" s="83"/>
    </row>
    <row r="64" spans="1:42" ht="22.2" customHeight="1" x14ac:dyDescent="0.35">
      <c r="A64" s="83"/>
      <c r="B64" s="91"/>
      <c r="C64" s="150"/>
      <c r="D64" s="384" t="s">
        <v>916</v>
      </c>
      <c r="E64" s="853">
        <v>89</v>
      </c>
      <c r="F64" s="256"/>
      <c r="G64" s="696"/>
      <c r="H64" s="696"/>
      <c r="I64" s="696"/>
      <c r="J64" s="696"/>
      <c r="K64" s="152"/>
      <c r="L64" s="106"/>
      <c r="M64" s="83"/>
      <c r="N64" s="104"/>
      <c r="O64" s="91"/>
      <c r="P64" s="651"/>
      <c r="Q64" s="651"/>
      <c r="R64" s="651"/>
      <c r="T64" s="84"/>
      <c r="U64" s="105"/>
      <c r="V64" s="104"/>
      <c r="W64" s="1089"/>
      <c r="X64" s="1081"/>
      <c r="Y64" s="1091"/>
      <c r="Z64" s="1093"/>
      <c r="AA64" s="106"/>
      <c r="AB64" s="106"/>
      <c r="AC64" s="83"/>
      <c r="AD64" s="83"/>
      <c r="AG64" s="83"/>
      <c r="AM64" s="83"/>
      <c r="AN64" s="83"/>
      <c r="AO64" s="83"/>
      <c r="AP64" s="83"/>
    </row>
    <row r="65" spans="1:42" ht="22.2" customHeight="1" x14ac:dyDescent="0.3">
      <c r="A65" s="83"/>
      <c r="B65" s="91"/>
      <c r="C65" s="150"/>
      <c r="D65" s="758" t="s">
        <v>917</v>
      </c>
      <c r="E65" s="755">
        <v>7</v>
      </c>
      <c r="F65" s="478"/>
      <c r="G65" s="696"/>
      <c r="H65" s="696"/>
      <c r="I65" s="696"/>
      <c r="J65" s="696"/>
      <c r="K65" s="152"/>
      <c r="L65" s="106"/>
      <c r="M65" s="83"/>
      <c r="N65" s="104"/>
      <c r="O65" s="91"/>
      <c r="P65" s="1132" t="s">
        <v>1079</v>
      </c>
      <c r="Q65" s="1132"/>
      <c r="R65" s="1132"/>
      <c r="S65" s="1129"/>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918</v>
      </c>
      <c r="E66" s="755">
        <v>1</v>
      </c>
      <c r="F66" s="209"/>
      <c r="G66" s="696"/>
      <c r="H66" s="696"/>
      <c r="I66" s="696"/>
      <c r="J66" s="696"/>
      <c r="K66" s="152"/>
      <c r="L66" s="106"/>
      <c r="M66" s="83"/>
      <c r="N66" s="104"/>
      <c r="O66" s="91"/>
      <c r="P66" s="1132"/>
      <c r="Q66" s="1132"/>
      <c r="R66" s="1132"/>
      <c r="S66" s="1130"/>
      <c r="T66" s="84"/>
      <c r="U66" s="105"/>
      <c r="V66" s="104"/>
      <c r="W66" s="1084" t="s">
        <v>722</v>
      </c>
      <c r="X66" s="1085"/>
      <c r="Y66" s="1086"/>
      <c r="Z66" s="589" t="s">
        <v>342</v>
      </c>
      <c r="AA66" s="106"/>
      <c r="AB66" s="106"/>
      <c r="AC66" s="83"/>
      <c r="AD66" s="83"/>
      <c r="AG66" s="83"/>
      <c r="AM66" s="83"/>
      <c r="AN66" s="83"/>
      <c r="AO66" s="83"/>
      <c r="AP66" s="83"/>
    </row>
    <row r="67" spans="1:42" ht="22.2" customHeight="1" x14ac:dyDescent="0.35">
      <c r="A67" s="83"/>
      <c r="B67" s="91"/>
      <c r="C67" s="150"/>
      <c r="D67" s="749" t="s">
        <v>913</v>
      </c>
      <c r="E67" s="878">
        <v>0.05</v>
      </c>
      <c r="F67" s="470"/>
      <c r="G67" s="696"/>
      <c r="H67" s="696"/>
      <c r="I67" s="696"/>
      <c r="J67" s="696"/>
      <c r="K67" s="152"/>
      <c r="L67" s="106"/>
      <c r="M67" s="83"/>
      <c r="N67" s="104"/>
      <c r="O67" s="91"/>
      <c r="P67" s="1006"/>
      <c r="Q67" s="1006"/>
      <c r="R67" s="651"/>
      <c r="T67" s="84"/>
      <c r="U67" s="105"/>
      <c r="V67" s="104"/>
      <c r="W67" s="1088" t="str">
        <f>+W63</f>
        <v>ADD</v>
      </c>
      <c r="X67" s="1080"/>
      <c r="Y67" s="1090" t="str">
        <f>+Y63</f>
        <v>REMOVE</v>
      </c>
      <c r="Z67" s="1092">
        <v>8</v>
      </c>
      <c r="AA67" s="106"/>
      <c r="AB67" s="106"/>
      <c r="AC67" s="83"/>
      <c r="AD67" s="83"/>
      <c r="AG67" s="83"/>
      <c r="AM67" s="83"/>
      <c r="AN67" s="83"/>
      <c r="AO67" s="83"/>
      <c r="AP67" s="83"/>
    </row>
    <row r="68" spans="1:42" ht="22.2" customHeight="1" x14ac:dyDescent="0.3">
      <c r="A68" s="83"/>
      <c r="B68" s="91"/>
      <c r="C68" s="150"/>
      <c r="D68" s="758" t="s">
        <v>914</v>
      </c>
      <c r="E68" s="878">
        <v>0.05</v>
      </c>
      <c r="F68" s="470"/>
      <c r="G68" s="696"/>
      <c r="H68" s="92"/>
      <c r="I68" s="92"/>
      <c r="J68" s="92"/>
      <c r="K68" s="152"/>
      <c r="L68" s="106"/>
      <c r="M68" s="83"/>
      <c r="N68" s="104"/>
      <c r="O68" s="1007"/>
      <c r="P68" s="1123" t="s">
        <v>1080</v>
      </c>
      <c r="Q68" s="1124"/>
      <c r="R68" s="1125"/>
      <c r="S68" s="1129"/>
      <c r="T68" s="84"/>
      <c r="U68" s="105"/>
      <c r="V68" s="104"/>
      <c r="W68" s="1089"/>
      <c r="X68" s="1081"/>
      <c r="Y68" s="1091"/>
      <c r="Z68" s="1093"/>
      <c r="AA68" s="106"/>
      <c r="AB68" s="106"/>
      <c r="AC68" s="83"/>
      <c r="AD68" s="83"/>
      <c r="AG68" s="83"/>
      <c r="AM68" s="83"/>
      <c r="AN68" s="83"/>
      <c r="AO68" s="83"/>
      <c r="AP68" s="83"/>
    </row>
    <row r="69" spans="1:42" ht="22.2" customHeight="1" x14ac:dyDescent="0.3">
      <c r="A69" s="83"/>
      <c r="B69" s="91"/>
      <c r="C69" s="150"/>
      <c r="D69" s="758" t="s">
        <v>915</v>
      </c>
      <c r="E69" s="853">
        <v>5.0000000000000001E-3</v>
      </c>
      <c r="F69" s="470"/>
      <c r="G69" s="696"/>
      <c r="H69" s="92"/>
      <c r="I69" s="92"/>
      <c r="J69" s="92"/>
      <c r="K69" s="152"/>
      <c r="L69" s="106"/>
      <c r="M69" s="83"/>
      <c r="N69" s="104"/>
      <c r="O69" s="1007"/>
      <c r="P69" s="1126"/>
      <c r="Q69" s="1127"/>
      <c r="R69" s="1128"/>
      <c r="S69" s="1130"/>
      <c r="T69" s="84"/>
      <c r="U69" s="105"/>
      <c r="V69" s="104"/>
      <c r="AA69" s="106"/>
      <c r="AB69" s="106"/>
      <c r="AC69" s="83"/>
      <c r="AD69" s="83"/>
      <c r="AG69" s="83"/>
      <c r="AM69" s="83"/>
      <c r="AN69" s="83"/>
      <c r="AO69" s="83"/>
      <c r="AP69" s="83"/>
    </row>
    <row r="70" spans="1:42" ht="22.2" customHeight="1" x14ac:dyDescent="0.35">
      <c r="A70" s="83"/>
      <c r="B70" s="91"/>
      <c r="C70" s="150"/>
      <c r="D70" s="759" t="s">
        <v>919</v>
      </c>
      <c r="E70" s="854">
        <v>5.0000000000000001E-3</v>
      </c>
      <c r="F70" s="470"/>
      <c r="G70" s="696"/>
      <c r="H70" s="92"/>
      <c r="I70" s="92"/>
      <c r="J70" s="92"/>
      <c r="K70" s="152"/>
      <c r="L70" s="106"/>
      <c r="M70" s="83"/>
      <c r="N70" s="104"/>
      <c r="O70" s="1007"/>
      <c r="P70" s="651"/>
      <c r="Q70" s="651"/>
      <c r="R70" s="651"/>
      <c r="T70" s="84"/>
      <c r="U70" s="105"/>
      <c r="V70" s="104"/>
      <c r="W70" s="1083" t="s">
        <v>268</v>
      </c>
      <c r="X70" s="1083"/>
      <c r="Y70" s="1083"/>
      <c r="Z70" s="1083"/>
      <c r="AA70" s="106"/>
      <c r="AB70" s="106"/>
      <c r="AC70" s="83"/>
      <c r="AD70" s="83"/>
      <c r="AG70" s="83"/>
      <c r="AM70" s="83"/>
      <c r="AN70" s="83"/>
      <c r="AO70" s="83"/>
      <c r="AP70" s="83"/>
    </row>
    <row r="71" spans="1:42" ht="22.2" customHeight="1" x14ac:dyDescent="0.3">
      <c r="A71" s="83"/>
      <c r="B71" s="91"/>
      <c r="C71" s="150"/>
      <c r="D71" s="714"/>
      <c r="E71" s="714"/>
      <c r="F71" s="696"/>
      <c r="G71" s="696"/>
      <c r="H71" s="547" t="s">
        <v>359</v>
      </c>
      <c r="I71" s="547" t="s">
        <v>664</v>
      </c>
      <c r="J71" s="524" t="s">
        <v>235</v>
      </c>
      <c r="K71" s="152"/>
      <c r="L71" s="106"/>
      <c r="M71" s="83"/>
      <c r="N71" s="104"/>
      <c r="O71" s="91"/>
      <c r="P71" s="1123" t="s">
        <v>1081</v>
      </c>
      <c r="Q71" s="1124"/>
      <c r="R71" s="1125"/>
      <c r="S71" s="1131"/>
      <c r="T71" s="84"/>
      <c r="U71" s="105"/>
      <c r="V71" s="104"/>
      <c r="W71" s="1082" t="s">
        <v>725</v>
      </c>
      <c r="X71" s="1082"/>
      <c r="Y71" s="1082"/>
      <c r="Z71" s="1082"/>
      <c r="AA71" s="106"/>
      <c r="AB71" s="106"/>
      <c r="AC71" s="83"/>
      <c r="AD71" s="83"/>
      <c r="AG71" s="83"/>
      <c r="AM71" s="83"/>
      <c r="AN71" s="83"/>
      <c r="AO71" s="83"/>
      <c r="AP71" s="83"/>
    </row>
    <row r="72" spans="1:42" ht="22.2" customHeight="1" x14ac:dyDescent="0.3">
      <c r="A72" s="83"/>
      <c r="B72" s="91"/>
      <c r="C72" s="150"/>
      <c r="D72" s="714"/>
      <c r="E72" s="714"/>
      <c r="F72" s="696"/>
      <c r="G72" s="696"/>
      <c r="H72" s="592" t="s">
        <v>753</v>
      </c>
      <c r="I72" s="535">
        <f>+E58</f>
        <v>2.774</v>
      </c>
      <c r="J72" s="535" t="s">
        <v>743</v>
      </c>
      <c r="K72" s="152"/>
      <c r="L72" s="106"/>
      <c r="M72" s="83"/>
      <c r="N72" s="104"/>
      <c r="O72" s="91"/>
      <c r="P72" s="1126"/>
      <c r="Q72" s="1127"/>
      <c r="R72" s="1128"/>
      <c r="S72" s="1131"/>
      <c r="T72" s="84"/>
      <c r="U72" s="105"/>
      <c r="V72" s="104"/>
      <c r="W72" s="1082"/>
      <c r="X72" s="1082"/>
      <c r="Y72" s="1082"/>
      <c r="Z72" s="1082"/>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082"/>
      <c r="X73" s="1082"/>
      <c r="Y73" s="1082"/>
      <c r="Z73" s="1082"/>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P68:R69"/>
    <mergeCell ref="S68:S69"/>
    <mergeCell ref="P71:R72"/>
    <mergeCell ref="S71:S72"/>
    <mergeCell ref="P59:R60"/>
    <mergeCell ref="S59:S60"/>
    <mergeCell ref="P62:R63"/>
    <mergeCell ref="S62:S63"/>
    <mergeCell ref="P65:R66"/>
    <mergeCell ref="S65:S66"/>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A10" zoomScale="55" zoomScaleNormal="55"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J3" s="1094" t="s">
        <v>667</v>
      </c>
      <c r="K3" s="1095"/>
      <c r="L3" s="1095"/>
      <c r="M3" s="1096"/>
      <c r="N3" s="210"/>
      <c r="O3" s="1094" t="str">
        <f>+E6</f>
        <v>NG Pre-treating</v>
      </c>
      <c r="P3" s="1095"/>
      <c r="Q3" s="1095"/>
      <c r="R3" s="1095"/>
      <c r="S3" s="1096"/>
      <c r="T3" s="105"/>
      <c r="U3" s="124"/>
      <c r="V3" s="112"/>
      <c r="W3" s="1140" t="str">
        <f>+E6&amp;" Diagram"</f>
        <v>NG Pre-treating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J5" s="1134"/>
      <c r="K5" s="1135"/>
      <c r="L5" s="214" t="s">
        <v>469</v>
      </c>
      <c r="M5" s="500" t="s">
        <v>503</v>
      </c>
      <c r="N5" s="501"/>
      <c r="O5" s="1065" t="s">
        <v>579</v>
      </c>
      <c r="P5" s="1066"/>
      <c r="Q5" s="1066"/>
      <c r="R5" s="1066"/>
      <c r="S5" s="106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Overview'!V37</f>
        <v>NG Pre-treating</v>
      </c>
      <c r="F6" s="105"/>
      <c r="G6" s="85"/>
      <c r="H6" s="395" t="s">
        <v>262</v>
      </c>
      <c r="J6" s="1136"/>
      <c r="K6" s="1137"/>
      <c r="L6" s="189" t="s">
        <v>470</v>
      </c>
      <c r="M6" s="86" t="s">
        <v>504</v>
      </c>
      <c r="N6" s="501"/>
      <c r="O6" s="1109" t="str">
        <f>+'Plant Overview'!X37</f>
        <v>Desulphurizer, pre-reformer, heat exchange</v>
      </c>
      <c r="P6" s="1110"/>
      <c r="Q6" s="1110"/>
      <c r="R6" s="1110"/>
      <c r="S6" s="111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Overview'!W37</f>
        <v>U-100</v>
      </c>
      <c r="F7" s="105"/>
      <c r="G7" s="96"/>
      <c r="H7" s="395" t="s">
        <v>263</v>
      </c>
      <c r="J7" s="1136"/>
      <c r="K7" s="1137"/>
      <c r="L7" s="214" t="s">
        <v>464</v>
      </c>
      <c r="M7" s="500" t="s">
        <v>502</v>
      </c>
      <c r="N7" s="501"/>
      <c r="O7" s="1112"/>
      <c r="P7" s="1113"/>
      <c r="Q7" s="1113"/>
      <c r="R7" s="1113"/>
      <c r="S7" s="111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418</v>
      </c>
      <c r="F8" s="105"/>
      <c r="G8" s="95"/>
      <c r="H8" s="724" t="s">
        <v>264</v>
      </c>
      <c r="J8" s="1136"/>
      <c r="K8" s="1137"/>
      <c r="L8" s="214" t="s">
        <v>465</v>
      </c>
      <c r="M8" s="500" t="s">
        <v>500</v>
      </c>
      <c r="N8" s="501"/>
      <c r="O8" s="1112"/>
      <c r="P8" s="1113"/>
      <c r="Q8" s="1113"/>
      <c r="R8" s="1113"/>
      <c r="S8" s="111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726" t="s">
        <v>268</v>
      </c>
      <c r="J9" s="1138"/>
      <c r="K9" s="1139"/>
      <c r="L9" s="214" t="s">
        <v>466</v>
      </c>
      <c r="M9" s="500" t="s">
        <v>501</v>
      </c>
      <c r="N9" s="501"/>
      <c r="O9" s="1115"/>
      <c r="P9" s="1116"/>
      <c r="Q9" s="1116"/>
      <c r="R9" s="1116"/>
      <c r="S9" s="111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475</v>
      </c>
      <c r="H12" s="541" t="s">
        <v>235</v>
      </c>
      <c r="I12" s="741" t="s">
        <v>236</v>
      </c>
      <c r="J12" s="730" t="s">
        <v>341</v>
      </c>
      <c r="K12" s="540" t="s">
        <v>340</v>
      </c>
      <c r="L12" s="540" t="s">
        <v>534</v>
      </c>
      <c r="M12" s="589" t="s">
        <v>230</v>
      </c>
      <c r="N12" s="589" t="s">
        <v>231</v>
      </c>
      <c r="O12" s="589" t="s">
        <v>232</v>
      </c>
      <c r="P12" s="589" t="s">
        <v>225</v>
      </c>
      <c r="Q12" s="589" t="s">
        <v>233</v>
      </c>
      <c r="R12" s="542" t="s">
        <v>266</v>
      </c>
      <c r="S12" s="589" t="s">
        <v>659</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939</v>
      </c>
      <c r="D13" s="267" t="s">
        <v>252</v>
      </c>
      <c r="E13" s="267" t="s">
        <v>117</v>
      </c>
      <c r="F13" s="392">
        <f>+X39*1000/3600/AD39</f>
        <v>691.55883312810329</v>
      </c>
      <c r="G13" s="858">
        <f>+AB39</f>
        <v>33.6</v>
      </c>
      <c r="H13" s="858" t="s">
        <v>352</v>
      </c>
      <c r="I13" s="858" t="s">
        <v>560</v>
      </c>
      <c r="J13" s="858" t="str">
        <f>+IF(F13&gt;'Equipment Data'!$L$126,"yes","No")</f>
        <v>No</v>
      </c>
      <c r="K13" s="858">
        <v>0.67</v>
      </c>
      <c r="L13" s="858"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940</v>
      </c>
      <c r="D14" s="267" t="s">
        <v>252</v>
      </c>
      <c r="E14" s="267" t="s">
        <v>117</v>
      </c>
      <c r="F14" s="392">
        <f t="shared" ref="F14:F16" si="1">+X40*1000/3600/AD40</f>
        <v>185.66863118330858</v>
      </c>
      <c r="G14" s="858">
        <f t="shared" ref="G14:G16" si="2">+AB40</f>
        <v>33.6</v>
      </c>
      <c r="H14" s="858" t="s">
        <v>352</v>
      </c>
      <c r="I14" s="858" t="s">
        <v>560</v>
      </c>
      <c r="J14" s="858" t="str">
        <f>+IF(F14&gt;'Equipment Data'!$L$126,"yes","No")</f>
        <v>No</v>
      </c>
      <c r="K14" s="858">
        <v>0.67</v>
      </c>
      <c r="L14" s="858"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941</v>
      </c>
      <c r="D15" s="267" t="s">
        <v>252</v>
      </c>
      <c r="E15" s="267" t="s">
        <v>117</v>
      </c>
      <c r="F15" s="392">
        <f t="shared" si="1"/>
        <v>232.22195072639542</v>
      </c>
      <c r="G15" s="858">
        <f t="shared" si="2"/>
        <v>33.6</v>
      </c>
      <c r="H15" s="858" t="s">
        <v>352</v>
      </c>
      <c r="I15" s="858" t="s">
        <v>561</v>
      </c>
      <c r="J15" s="858" t="str">
        <f>+IF(F15&gt;'Equipment Data'!$L$126,"yes","No")</f>
        <v>No</v>
      </c>
      <c r="K15" s="858">
        <v>0.67</v>
      </c>
      <c r="L15" s="858" t="s">
        <v>529</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945</v>
      </c>
      <c r="D16" s="267" t="s">
        <v>252</v>
      </c>
      <c r="E16" s="267" t="s">
        <v>117</v>
      </c>
      <c r="F16" s="392">
        <f t="shared" si="1"/>
        <v>689.89615853486134</v>
      </c>
      <c r="G16" s="858">
        <f t="shared" si="2"/>
        <v>33.6</v>
      </c>
      <c r="H16" s="858" t="s">
        <v>352</v>
      </c>
      <c r="I16" s="858" t="s">
        <v>561</v>
      </c>
      <c r="J16" s="858" t="str">
        <f>+IF(F16&gt;'Equipment Data'!$L$126,"yes","No")</f>
        <v>No</v>
      </c>
      <c r="K16" s="858">
        <v>0.67</v>
      </c>
      <c r="L16" s="858" t="s">
        <v>529</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942</v>
      </c>
      <c r="D17" s="267" t="s">
        <v>269</v>
      </c>
      <c r="E17" s="267" t="s">
        <v>156</v>
      </c>
      <c r="F17" s="858">
        <f>1000*0.01503</f>
        <v>15.03</v>
      </c>
      <c r="G17" s="858">
        <v>37</v>
      </c>
      <c r="H17" s="858" t="s">
        <v>473</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7" t="str">
        <f>+E6&amp;" Calculations"</f>
        <v>NG Pre-treating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831</v>
      </c>
      <c r="Z39" s="671" t="s">
        <v>832</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835</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835</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835</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740" t="s">
        <v>463</v>
      </c>
      <c r="G45" s="740" t="s">
        <v>315</v>
      </c>
      <c r="H45" s="740" t="s">
        <v>508</v>
      </c>
      <c r="I45" s="538" t="s">
        <v>505</v>
      </c>
      <c r="J45" s="538" t="s">
        <v>235</v>
      </c>
      <c r="K45" s="861" t="s">
        <v>465</v>
      </c>
      <c r="L45" s="861" t="s">
        <v>466</v>
      </c>
      <c r="M45" s="589" t="s">
        <v>585</v>
      </c>
      <c r="N45" s="589" t="s">
        <v>468</v>
      </c>
      <c r="O45" s="589"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943</v>
      </c>
      <c r="D46" s="855" t="s">
        <v>771</v>
      </c>
      <c r="E46" s="856" t="s">
        <v>975</v>
      </c>
      <c r="F46" s="383" t="s">
        <v>455</v>
      </c>
      <c r="G46" s="383">
        <v>2008</v>
      </c>
      <c r="H46" s="383" t="s">
        <v>487</v>
      </c>
      <c r="I46" s="856" t="s">
        <v>855</v>
      </c>
      <c r="J46" s="856" t="s">
        <v>733</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944</v>
      </c>
      <c r="D47" s="857" t="s">
        <v>772</v>
      </c>
      <c r="E47" s="874" t="s">
        <v>974</v>
      </c>
      <c r="F47" s="254" t="s">
        <v>455</v>
      </c>
      <c r="G47" s="254">
        <v>2005</v>
      </c>
      <c r="H47" s="254" t="s">
        <v>487</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47" t="s">
        <v>358</v>
      </c>
      <c r="X48" s="1149"/>
      <c r="Y48" s="865" t="s">
        <v>816</v>
      </c>
      <c r="Z48" s="881"/>
      <c r="AA48" s="881"/>
      <c r="AB48" s="881"/>
      <c r="AC48" s="881"/>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74" t="s">
        <v>817</v>
      </c>
      <c r="X49" s="1175"/>
      <c r="Y49" s="807">
        <v>40</v>
      </c>
      <c r="Z49" s="507"/>
      <c r="AA49" s="507"/>
      <c r="AB49" s="507"/>
      <c r="AC49" s="507"/>
      <c r="AD49" s="507"/>
      <c r="AE49" s="507"/>
      <c r="AF49" s="517"/>
      <c r="AG49" s="86">
        <v>1</v>
      </c>
      <c r="AH49" s="86" t="str">
        <f>+E46</f>
        <v>Manzolini [1]</v>
      </c>
      <c r="AI49" s="1133" t="s">
        <v>973</v>
      </c>
      <c r="AJ49" s="1133"/>
      <c r="AK49" s="1133"/>
      <c r="AL49" s="1133"/>
      <c r="AM49" s="1133"/>
      <c r="AN49" s="1133"/>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72" t="s">
        <v>818</v>
      </c>
      <c r="X50" s="1107"/>
      <c r="Y50" s="807">
        <v>0.7</v>
      </c>
      <c r="Z50" s="507"/>
      <c r="AA50" s="507"/>
      <c r="AB50" s="507"/>
      <c r="AC50" s="507"/>
      <c r="AD50" s="507"/>
      <c r="AE50" s="507"/>
      <c r="AF50" s="517"/>
      <c r="AG50" s="866">
        <v>2</v>
      </c>
      <c r="AH50" s="866" t="str">
        <f>+E47</f>
        <v>Manzolini [2]</v>
      </c>
      <c r="AI50" s="1168" t="s">
        <v>976</v>
      </c>
      <c r="AJ50" s="1168"/>
      <c r="AK50" s="1168"/>
      <c r="AL50" s="1168"/>
      <c r="AM50" s="1168"/>
      <c r="AN50" s="1168"/>
      <c r="AO50" s="113"/>
      <c r="AP50" s="105"/>
      <c r="AQ50" s="241"/>
      <c r="AR50" s="452"/>
    </row>
    <row r="51" spans="1:57" ht="16.2" customHeight="1" x14ac:dyDescent="0.3">
      <c r="A51" s="83"/>
      <c r="B51" s="104"/>
      <c r="C51" s="801" t="s">
        <v>774</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72" t="s">
        <v>819</v>
      </c>
      <c r="X51" s="1107"/>
      <c r="Y51" s="807">
        <v>1500</v>
      </c>
      <c r="Z51" s="507"/>
      <c r="AA51" s="507"/>
      <c r="AB51" s="507"/>
      <c r="AC51" s="507"/>
      <c r="AD51" s="507"/>
      <c r="AE51" s="507"/>
      <c r="AF51" s="517"/>
      <c r="AG51" s="921">
        <v>3</v>
      </c>
      <c r="AH51" s="921" t="s">
        <v>825</v>
      </c>
      <c r="AI51" s="1176" t="s">
        <v>1027</v>
      </c>
      <c r="AJ51" s="1176"/>
      <c r="AK51" s="1176"/>
      <c r="AL51" s="1176"/>
      <c r="AM51" s="1176"/>
      <c r="AN51" s="1176"/>
      <c r="AO51" s="113"/>
      <c r="AP51" s="105"/>
      <c r="AQ51" s="241"/>
      <c r="AR51" s="452"/>
    </row>
    <row r="52" spans="1:57" ht="16.2" customHeight="1" x14ac:dyDescent="0.3">
      <c r="A52" s="83"/>
      <c r="B52" s="104"/>
      <c r="C52" s="224"/>
      <c r="D52" s="722"/>
      <c r="E52" s="723"/>
      <c r="F52" s="723"/>
      <c r="G52" s="723"/>
      <c r="H52" s="723"/>
      <c r="I52" s="723"/>
      <c r="J52" s="723"/>
      <c r="K52" s="723"/>
      <c r="L52" s="724"/>
      <c r="M52" s="549" t="s">
        <v>584</v>
      </c>
      <c r="N52" s="541" t="s">
        <v>463</v>
      </c>
      <c r="O52" s="731"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488</v>
      </c>
      <c r="N53" s="531" t="s">
        <v>486</v>
      </c>
      <c r="O53" s="733">
        <v>2001</v>
      </c>
      <c r="P53" s="1054" t="s">
        <v>477</v>
      </c>
      <c r="Q53" s="1056"/>
      <c r="R53" s="551">
        <f>+IF(SUM(S13:S43)&gt;0,IF(G3="Equipment",SUM(S13:S43),"NaN"),"")</f>
        <v>1.4763386096581608</v>
      </c>
      <c r="S53" s="552" cm="1">
        <f t="array" aca="1" ref="S53" ca="1">+IF(R53="",0,R53*INDIRECT(ADDRESS(MATCH(O53,'Cost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640</v>
      </c>
      <c r="N54" s="140"/>
      <c r="O54" s="146"/>
      <c r="P54" s="1054"/>
      <c r="Q54" s="1056"/>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NG Pre-treating</v>
      </c>
      <c r="C57" s="1095"/>
      <c r="D57" s="1095"/>
      <c r="E57" s="1095"/>
      <c r="F57" s="1095"/>
      <c r="G57" s="1096"/>
      <c r="H57" s="1094" t="str">
        <f>+"Estimate Benchmark: "&amp;E6</f>
        <v>Estimate Benchmark: NG Pre-treating</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8" t="s">
        <v>359</v>
      </c>
      <c r="J81" s="1159" t="s">
        <v>579</v>
      </c>
      <c r="K81" s="1159"/>
      <c r="L81" s="1159"/>
      <c r="M81" s="1159"/>
      <c r="N81" s="1159"/>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69"/>
      <c r="K82" s="1170"/>
      <c r="L82" s="1170"/>
      <c r="M82" s="1170"/>
      <c r="N82" s="1171"/>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GSR</v>
      </c>
      <c r="P3" s="1095"/>
      <c r="Q3" s="1095"/>
      <c r="R3" s="1095"/>
      <c r="S3" s="1096"/>
      <c r="T3" s="106"/>
      <c r="U3" s="106"/>
      <c r="V3" s="112"/>
      <c r="W3" s="1140" t="str">
        <f>+E6&amp;" Diagram"</f>
        <v>GSR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Overview'!V38</f>
        <v>GSR</v>
      </c>
      <c r="F6" s="105"/>
      <c r="G6" s="85"/>
      <c r="H6" s="395" t="s">
        <v>262</v>
      </c>
      <c r="I6" s="92"/>
      <c r="J6" s="1136"/>
      <c r="K6" s="1137"/>
      <c r="L6" s="189" t="s">
        <v>470</v>
      </c>
      <c r="M6" s="86" t="s">
        <v>504</v>
      </c>
      <c r="N6" s="501"/>
      <c r="O6" s="1109" t="str">
        <f>+'Plant Overview'!X38</f>
        <v>Gas Switching Reforming Island</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Overview'!W38</f>
        <v>U-200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418</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526</v>
      </c>
      <c r="D13" s="267" t="s">
        <v>260</v>
      </c>
      <c r="E13" s="267" t="s">
        <v>201</v>
      </c>
      <c r="F13" s="168">
        <f>+X47*X47*PI()/4*X48*X47</f>
        <v>2.5112870855770466</v>
      </c>
      <c r="G13" s="889">
        <v>1</v>
      </c>
      <c r="H13" s="889" t="s">
        <v>471</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774</v>
      </c>
      <c r="D14" s="267" t="s">
        <v>260</v>
      </c>
      <c r="E14" s="267" t="s">
        <v>201</v>
      </c>
      <c r="F14" s="168">
        <f>+F13+Q46</f>
        <v>7.5668936685562631</v>
      </c>
      <c r="G14" s="889">
        <f>+X39</f>
        <v>32.700000000000003</v>
      </c>
      <c r="H14" s="889" t="s">
        <v>471</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7" t="str">
        <f>+E6&amp;" Calculations"</f>
        <v>GSR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785</v>
      </c>
      <c r="X36" s="1185"/>
      <c r="Y36" s="1186"/>
      <c r="AA36" s="1187" t="s">
        <v>813</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776</v>
      </c>
      <c r="X37" s="792">
        <v>782.2</v>
      </c>
      <c r="Y37" s="781" t="s">
        <v>775</v>
      </c>
      <c r="Z37" s="509"/>
      <c r="AA37" s="803" t="s">
        <v>795</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777</v>
      </c>
      <c r="X38" s="787">
        <v>1025</v>
      </c>
      <c r="Y38" s="783" t="s">
        <v>778</v>
      </c>
      <c r="Z38" s="509"/>
      <c r="AA38" s="791" t="s">
        <v>807</v>
      </c>
      <c r="AB38" s="795">
        <v>7850</v>
      </c>
      <c r="AC38" s="709" t="s">
        <v>808</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779</v>
      </c>
      <c r="X39" s="787">
        <v>32.700000000000003</v>
      </c>
      <c r="Y39" s="783" t="s">
        <v>780</v>
      </c>
      <c r="Z39" s="509"/>
      <c r="AA39" s="791" t="s">
        <v>809</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781</v>
      </c>
      <c r="X40" s="788">
        <f>X37*8.314*(273+X38)/X39/100000</f>
        <v>2.5813968251987767</v>
      </c>
      <c r="Y40" s="783" t="s">
        <v>351</v>
      </c>
      <c r="Z40" s="509"/>
      <c r="AA40" s="791" t="s">
        <v>796</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782</v>
      </c>
      <c r="X41" s="790">
        <v>0.58333000000000002</v>
      </c>
      <c r="Y41" s="783" t="s">
        <v>783</v>
      </c>
      <c r="Z41" s="509"/>
      <c r="AA41" s="384" t="s">
        <v>799</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784</v>
      </c>
      <c r="X42" s="785">
        <f>X40/X41</f>
        <v>4.4252769876378322</v>
      </c>
      <c r="Y42" s="786" t="s">
        <v>351</v>
      </c>
      <c r="Z42" s="509"/>
      <c r="AA42" s="692" t="s">
        <v>812</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797</v>
      </c>
      <c r="X43" s="1191"/>
      <c r="Y43" s="1192"/>
      <c r="Z43" s="509"/>
      <c r="AA43" s="369" t="s">
        <v>814</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0"/>
        <v>0</v>
      </c>
      <c r="U44" s="105"/>
      <c r="V44" s="499"/>
      <c r="W44" s="779" t="s">
        <v>786</v>
      </c>
      <c r="X44" s="780">
        <v>0.6</v>
      </c>
      <c r="Y44" s="781" t="s">
        <v>787</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499"/>
      <c r="W45" s="782" t="s">
        <v>788</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798</v>
      </c>
      <c r="D46" s="885" t="s">
        <v>792</v>
      </c>
      <c r="E46" s="886"/>
      <c r="F46" s="383" t="s">
        <v>486</v>
      </c>
      <c r="G46" s="383">
        <v>2020</v>
      </c>
      <c r="H46" s="383" t="s">
        <v>477</v>
      </c>
      <c r="I46" s="383" t="s">
        <v>793</v>
      </c>
      <c r="J46" s="279" t="s">
        <v>471</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789</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800</v>
      </c>
      <c r="D47" s="888" t="s">
        <v>801</v>
      </c>
      <c r="E47" s="889"/>
      <c r="F47" s="254" t="s">
        <v>486</v>
      </c>
      <c r="G47" s="254">
        <v>2020</v>
      </c>
      <c r="H47" s="254" t="s">
        <v>477</v>
      </c>
      <c r="I47" s="393" t="s">
        <v>802</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790</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803</v>
      </c>
      <c r="D48" s="888" t="s">
        <v>804</v>
      </c>
      <c r="E48" s="889"/>
      <c r="F48" s="254" t="s">
        <v>455</v>
      </c>
      <c r="G48" s="254">
        <v>2020</v>
      </c>
      <c r="H48" s="254" t="s">
        <v>487</v>
      </c>
      <c r="I48" s="889" t="s">
        <v>805</v>
      </c>
      <c r="J48" s="889" t="s">
        <v>806</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791</v>
      </c>
      <c r="X48" s="785">
        <v>3</v>
      </c>
      <c r="Y48" s="786" t="s">
        <v>354</v>
      </c>
      <c r="Z48" s="507"/>
      <c r="AA48" s="507"/>
      <c r="AB48" s="507"/>
      <c r="AC48" s="507"/>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t="s">
        <v>810</v>
      </c>
      <c r="D49" s="888" t="s">
        <v>811</v>
      </c>
      <c r="E49" s="889"/>
      <c r="F49" s="254" t="s">
        <v>486</v>
      </c>
      <c r="G49" s="254">
        <v>2020</v>
      </c>
      <c r="H49" s="254" t="s">
        <v>477</v>
      </c>
      <c r="I49" s="889" t="s">
        <v>805</v>
      </c>
      <c r="J49" s="889" t="s">
        <v>806</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977</v>
      </c>
      <c r="AI49" s="1177" t="s">
        <v>978</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3.1807687090957861</v>
      </c>
      <c r="S53" s="552" cm="1">
        <f t="array" aca="1" ref="S53" ca="1">+IF(R53="",0,R53*INDIRECT(ADDRESS(MATCH(O53,'Cost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GSR</v>
      </c>
      <c r="C57" s="1095"/>
      <c r="D57" s="1095"/>
      <c r="E57" s="1095"/>
      <c r="F57" s="1095"/>
      <c r="G57" s="1096"/>
      <c r="H57" s="1094" t="str">
        <f>+"Estimate Benchmark: "&amp;E6</f>
        <v>Estimate Benchmark: GSR</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631" t="s">
        <v>686</v>
      </c>
      <c r="I81" s="952"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S54" sqref="S54"/>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Power Cycle</v>
      </c>
      <c r="P3" s="1095"/>
      <c r="Q3" s="1095"/>
      <c r="R3" s="1095"/>
      <c r="S3" s="1096"/>
      <c r="T3" s="106"/>
      <c r="U3" s="106"/>
      <c r="V3" s="112"/>
      <c r="W3" s="1140" t="str">
        <f>+E6&amp;" Diagram"</f>
        <v>Power Cycle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Overview'!V39</f>
        <v>Power Cycle</v>
      </c>
      <c r="F6" s="105"/>
      <c r="G6" s="85"/>
      <c r="H6" s="395" t="s">
        <v>262</v>
      </c>
      <c r="I6" s="92"/>
      <c r="J6" s="1136"/>
      <c r="K6" s="1137"/>
      <c r="L6" s="189" t="s">
        <v>470</v>
      </c>
      <c r="M6" s="86" t="s">
        <v>504</v>
      </c>
      <c r="N6" s="501"/>
      <c r="O6" s="1109" t="str">
        <f>+'Plant Overview'!X39</f>
        <v>Power cycle (Oxidation section)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Overview'!W39</f>
        <v>U-300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316</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946</v>
      </c>
      <c r="D13" s="233" t="s">
        <v>261</v>
      </c>
      <c r="E13" s="267" t="s">
        <v>24</v>
      </c>
      <c r="F13" s="392">
        <f>1000*6.43470230932904</f>
        <v>6434.70230932904</v>
      </c>
      <c r="G13" s="889" t="s">
        <v>354</v>
      </c>
      <c r="H13" s="889" t="s">
        <v>473</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947</v>
      </c>
      <c r="D14" s="267" t="s">
        <v>148</v>
      </c>
      <c r="E14" s="267" t="s">
        <v>24</v>
      </c>
      <c r="F14" s="392">
        <f>1000*7.51335346342238</f>
        <v>7513.3534634223797</v>
      </c>
      <c r="G14" s="889" t="s">
        <v>354</v>
      </c>
      <c r="H14" s="889" t="s">
        <v>473</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948</v>
      </c>
      <c r="D15" s="267" t="s">
        <v>252</v>
      </c>
      <c r="E15" s="267" t="s">
        <v>117</v>
      </c>
      <c r="F15" s="392">
        <f>+X39*1000/3600/AD39</f>
        <v>1018.5828667135729</v>
      </c>
      <c r="G15" s="889">
        <v>1</v>
      </c>
      <c r="H15" s="889" t="s">
        <v>352</v>
      </c>
      <c r="I15" s="889" t="s">
        <v>530</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949</v>
      </c>
      <c r="D16" s="267" t="s">
        <v>269</v>
      </c>
      <c r="E16" s="267" t="s">
        <v>156</v>
      </c>
      <c r="F16" s="913">
        <f>1000*0.000610826415478802</f>
        <v>0.61082641547880201</v>
      </c>
      <c r="G16" s="889">
        <v>6</v>
      </c>
      <c r="H16" s="889" t="s">
        <v>473</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950</v>
      </c>
      <c r="D17" s="267" t="s">
        <v>518</v>
      </c>
      <c r="E17" s="267" t="s">
        <v>36</v>
      </c>
      <c r="F17" s="392">
        <f>+F14-F13</f>
        <v>1078.6511540933398</v>
      </c>
      <c r="G17" s="889" t="s">
        <v>354</v>
      </c>
      <c r="H17" s="889" t="s">
        <v>473</v>
      </c>
      <c r="I17" s="889" t="s">
        <v>569</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7" t="str">
        <f>+E6&amp;" Calculations"</f>
        <v>Power Cycle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831</v>
      </c>
      <c r="Z39" s="905" t="s">
        <v>832</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7.9101219680070587</v>
      </c>
      <c r="S53" s="552" cm="1">
        <f t="array" aca="1" ref="S53" ca="1">+IF(R53="",0,R53*INDIRECT(ADDRESS(MATCH(O53,'Cost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Power Cycle</v>
      </c>
      <c r="C57" s="1095"/>
      <c r="D57" s="1095"/>
      <c r="E57" s="1095"/>
      <c r="F57" s="1095"/>
      <c r="G57" s="1096"/>
      <c r="H57" s="1094" t="str">
        <f>+"Estimate Benchmark: "&amp;E6</f>
        <v>Estimate Benchmark: Power Cycle</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WGS</v>
      </c>
      <c r="P3" s="1095"/>
      <c r="Q3" s="1095"/>
      <c r="R3" s="1095"/>
      <c r="S3" s="1096"/>
      <c r="T3" s="106"/>
      <c r="U3" s="106"/>
      <c r="V3" s="112"/>
      <c r="W3" s="1140" t="str">
        <f>+E6&amp;" Diagram"</f>
        <v>WGS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Overview'!V40</f>
        <v>WGS</v>
      </c>
      <c r="F6" s="105"/>
      <c r="G6" s="85"/>
      <c r="H6" s="395" t="s">
        <v>262</v>
      </c>
      <c r="I6" s="92"/>
      <c r="J6" s="1136"/>
      <c r="K6" s="1137"/>
      <c r="L6" s="189" t="s">
        <v>470</v>
      </c>
      <c r="M6" s="86" t="s">
        <v>504</v>
      </c>
      <c r="N6" s="501"/>
      <c r="O6" s="1109" t="str">
        <f>+'Plant Overview'!X40</f>
        <v>Water Gas Shift train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Overview'!W40</f>
        <v>U-400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419</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1014</v>
      </c>
      <c r="D13" s="267" t="s">
        <v>260</v>
      </c>
      <c r="E13" s="267" t="s">
        <v>201</v>
      </c>
      <c r="F13" s="889">
        <f>+X45*(1+X46)</f>
        <v>34.384999999999998</v>
      </c>
      <c r="G13" s="889">
        <v>1</v>
      </c>
      <c r="H13" s="889" t="s">
        <v>471</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1015</v>
      </c>
      <c r="D14" s="267" t="s">
        <v>260</v>
      </c>
      <c r="E14" s="267" t="s">
        <v>201</v>
      </c>
      <c r="F14" s="392">
        <f>+F13+Q46</f>
        <v>37.747525753139719</v>
      </c>
      <c r="G14" s="889">
        <v>31</v>
      </c>
      <c r="H14" s="889" t="s">
        <v>471</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1016</v>
      </c>
      <c r="D15" s="267" t="s">
        <v>260</v>
      </c>
      <c r="E15" s="267" t="s">
        <v>201</v>
      </c>
      <c r="F15" s="889">
        <f>+X47*(1+X48)</f>
        <v>1.1759999999999999</v>
      </c>
      <c r="G15" s="889">
        <v>1</v>
      </c>
      <c r="H15" s="889" t="s">
        <v>471</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1017</v>
      </c>
      <c r="D16" s="267" t="s">
        <v>260</v>
      </c>
      <c r="E16" s="267" t="s">
        <v>201</v>
      </c>
      <c r="F16" s="889">
        <f>+F15+Q48</f>
        <v>25.245499999999996</v>
      </c>
      <c r="G16" s="889">
        <v>31</v>
      </c>
      <c r="H16" s="889" t="s">
        <v>471</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951</v>
      </c>
      <c r="D17" s="267" t="s">
        <v>252</v>
      </c>
      <c r="E17" s="267" t="s">
        <v>117</v>
      </c>
      <c r="F17" s="168">
        <f>+AC42*1000/3600/AI42</f>
        <v>153.46347689602027</v>
      </c>
      <c r="G17" s="889">
        <f>+AG42</f>
        <v>35</v>
      </c>
      <c r="H17" s="889" t="s">
        <v>352</v>
      </c>
      <c r="I17" s="889" t="s">
        <v>474</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952</v>
      </c>
      <c r="D18" s="267" t="s">
        <v>252</v>
      </c>
      <c r="E18" s="267" t="s">
        <v>117</v>
      </c>
      <c r="F18" s="168">
        <f>+AC43*1000/3600/AI43</f>
        <v>78.414003570214206</v>
      </c>
      <c r="G18" s="889">
        <f>+AG43</f>
        <v>35</v>
      </c>
      <c r="H18" s="889" t="s">
        <v>352</v>
      </c>
      <c r="I18" s="889" t="s">
        <v>474</v>
      </c>
      <c r="J18" s="889" t="str">
        <f>+IF(F18&gt;'Equipment Data'!$L$126,"yes","No")</f>
        <v>No</v>
      </c>
      <c r="K18" s="889">
        <v>0.67</v>
      </c>
      <c r="L18" s="889" t="s">
        <v>529</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953</v>
      </c>
      <c r="D19" s="267" t="s">
        <v>252</v>
      </c>
      <c r="E19" s="267" t="s">
        <v>117</v>
      </c>
      <c r="F19" s="168">
        <f>+AC44*1000/3600/AI44</f>
        <v>132.32653850048752</v>
      </c>
      <c r="G19" s="889">
        <f>+AG44</f>
        <v>37</v>
      </c>
      <c r="H19" s="889" t="s">
        <v>352</v>
      </c>
      <c r="I19" s="889" t="s">
        <v>474</v>
      </c>
      <c r="J19" s="889" t="str">
        <f>+IF(F19&gt;'Equipment Data'!$L$126,"yes","No")</f>
        <v>No</v>
      </c>
      <c r="K19" s="889">
        <v>0.67</v>
      </c>
      <c r="L19" s="889" t="s">
        <v>529</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954</v>
      </c>
      <c r="D20" s="267" t="s">
        <v>269</v>
      </c>
      <c r="E20" s="267" t="s">
        <v>156</v>
      </c>
      <c r="F20" s="168">
        <f>1000*0.0150327479715578</f>
        <v>15.0327479715578</v>
      </c>
      <c r="G20" s="889">
        <v>35</v>
      </c>
      <c r="H20" s="889" t="s">
        <v>473</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955</v>
      </c>
      <c r="D21" s="267" t="s">
        <v>260</v>
      </c>
      <c r="E21" s="267" t="s">
        <v>201</v>
      </c>
      <c r="F21" s="168">
        <f>+AJ38+AI38</f>
        <v>3.8054797693194891</v>
      </c>
      <c r="G21" s="889">
        <f>+AK38</f>
        <v>32</v>
      </c>
      <c r="H21" s="889" t="s">
        <v>471</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963</v>
      </c>
      <c r="D22" s="267" t="s">
        <v>252</v>
      </c>
      <c r="E22" s="267" t="s">
        <v>117</v>
      </c>
      <c r="F22" s="392">
        <f>+AC45/3600*1000/AI45</f>
        <v>100.39594446211946</v>
      </c>
      <c r="G22" s="889">
        <v>30</v>
      </c>
      <c r="H22" s="889" t="s">
        <v>352</v>
      </c>
      <c r="I22" s="889" t="s">
        <v>474</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7" t="str">
        <f>+E6&amp;" Calculations"</f>
        <v>WGS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99" t="s">
        <v>837</v>
      </c>
      <c r="X36" s="1200"/>
      <c r="Y36" s="1201"/>
      <c r="AB36" s="1202" t="s">
        <v>856</v>
      </c>
      <c r="AC36" s="1203"/>
      <c r="AD36" s="1203"/>
      <c r="AE36" s="1203"/>
      <c r="AF36" s="1203"/>
      <c r="AG36" s="1203"/>
      <c r="AH36" s="1203"/>
      <c r="AI36" s="1203"/>
      <c r="AJ36" s="1203"/>
      <c r="AK36" s="1204"/>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838</v>
      </c>
      <c r="X37" s="835">
        <v>16100</v>
      </c>
      <c r="Y37" s="873" t="s">
        <v>794</v>
      </c>
      <c r="AB37" s="865" t="s">
        <v>461</v>
      </c>
      <c r="AC37" s="865" t="s">
        <v>857</v>
      </c>
      <c r="AD37" s="865" t="s">
        <v>858</v>
      </c>
      <c r="AE37" s="865" t="s">
        <v>859</v>
      </c>
      <c r="AF37" s="865" t="s">
        <v>860</v>
      </c>
      <c r="AG37" s="865" t="s">
        <v>865</v>
      </c>
      <c r="AH37" s="865" t="s">
        <v>861</v>
      </c>
      <c r="AI37" s="826" t="s">
        <v>862</v>
      </c>
      <c r="AJ37" s="827" t="s">
        <v>863</v>
      </c>
      <c r="AK37" s="830" t="s">
        <v>866</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839</v>
      </c>
      <c r="X38" s="508">
        <v>2000</v>
      </c>
      <c r="Y38" s="863" t="s">
        <v>794</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840</v>
      </c>
      <c r="X39" s="870">
        <v>4500</v>
      </c>
      <c r="Y39" s="869" t="s">
        <v>808</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6" t="s">
        <v>252</v>
      </c>
      <c r="AC40" s="1197"/>
      <c r="AD40" s="1198"/>
      <c r="AE40" s="1150" t="s">
        <v>823</v>
      </c>
      <c r="AF40" s="1119"/>
      <c r="AG40" s="1150" t="s">
        <v>824</v>
      </c>
      <c r="AH40" s="1119"/>
      <c r="AI40" s="865" t="s">
        <v>825</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826</v>
      </c>
      <c r="AD41" s="865" t="s">
        <v>827</v>
      </c>
      <c r="AE41" s="808" t="s">
        <v>828</v>
      </c>
      <c r="AF41" s="808" t="s">
        <v>829</v>
      </c>
      <c r="AG41" s="810" t="s">
        <v>828</v>
      </c>
      <c r="AH41" s="808" t="s">
        <v>829</v>
      </c>
      <c r="AI41" s="186" t="s">
        <v>830</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831</v>
      </c>
      <c r="AE42" s="872" t="s">
        <v>832</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6" t="s">
        <v>841</v>
      </c>
      <c r="X43" s="1197"/>
      <c r="Y43" s="1198"/>
      <c r="AB43" s="865" t="str">
        <f>+C18</f>
        <v>HEX-402</v>
      </c>
      <c r="AC43" s="865">
        <v>124064.343170113</v>
      </c>
      <c r="AD43" s="871" t="s">
        <v>831</v>
      </c>
      <c r="AE43" s="867" t="s">
        <v>832</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0"/>
        <v>0</v>
      </c>
      <c r="U44" s="105"/>
      <c r="V44" s="806"/>
      <c r="W44" s="871" t="s">
        <v>461</v>
      </c>
      <c r="X44" s="865" t="s">
        <v>842</v>
      </c>
      <c r="Y44" s="864" t="s">
        <v>843</v>
      </c>
      <c r="AB44" s="865" t="str">
        <f>+C19</f>
        <v>HEX-403</v>
      </c>
      <c r="AC44" s="865">
        <v>178897.374426428</v>
      </c>
      <c r="AD44" s="871" t="s">
        <v>870</v>
      </c>
      <c r="AE44" s="867" t="s">
        <v>819</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7" t="s">
        <v>844</v>
      </c>
      <c r="X45" s="164">
        <v>26.45</v>
      </c>
      <c r="Y45" s="822">
        <v>1.234</v>
      </c>
      <c r="Z45" s="881"/>
      <c r="AA45" s="881"/>
      <c r="AB45" s="915" t="str">
        <f>+C22</f>
        <v>C-401</v>
      </c>
      <c r="AC45" s="915">
        <v>417029.30776572699</v>
      </c>
      <c r="AD45" s="753" t="s">
        <v>964</v>
      </c>
      <c r="AE45" s="868" t="s">
        <v>819</v>
      </c>
      <c r="AF45" s="838">
        <f>IF(AE45="Ph. Ch.",$AD$51,IF(AE45="Liquid",$AD$50,$AD$48*AE45^$AD$49))</f>
        <v>1500</v>
      </c>
      <c r="AG45" s="839" t="s">
        <v>832</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851</v>
      </c>
      <c r="D46" s="885" t="s">
        <v>792</v>
      </c>
      <c r="E46" s="886"/>
      <c r="F46" s="383" t="s">
        <v>486</v>
      </c>
      <c r="G46" s="383">
        <v>2020</v>
      </c>
      <c r="H46" s="383" t="s">
        <v>477</v>
      </c>
      <c r="I46" s="383" t="s">
        <v>793</v>
      </c>
      <c r="J46" s="279" t="s">
        <v>471</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845</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852</v>
      </c>
      <c r="D47" s="888" t="s">
        <v>792</v>
      </c>
      <c r="E47" s="889"/>
      <c r="F47" s="254" t="s">
        <v>486</v>
      </c>
      <c r="G47" s="254">
        <v>2020</v>
      </c>
      <c r="H47" s="254" t="s">
        <v>477</v>
      </c>
      <c r="I47" s="393" t="s">
        <v>793</v>
      </c>
      <c r="J47" s="393" t="s">
        <v>471</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846</v>
      </c>
      <c r="X47" s="164">
        <v>0.3</v>
      </c>
      <c r="Y47" s="863">
        <v>0.5</v>
      </c>
      <c r="Z47" s="881"/>
      <c r="AA47" s="881"/>
      <c r="AB47" s="1147" t="s">
        <v>358</v>
      </c>
      <c r="AC47" s="1149"/>
      <c r="AD47" s="865" t="s">
        <v>816</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853</v>
      </c>
      <c r="D48" s="888" t="s">
        <v>1018</v>
      </c>
      <c r="E48" s="889"/>
      <c r="F48" s="254" t="s">
        <v>486</v>
      </c>
      <c r="G48" s="254">
        <v>2020</v>
      </c>
      <c r="H48" s="254" t="s">
        <v>477</v>
      </c>
      <c r="I48" s="889" t="s">
        <v>867</v>
      </c>
      <c r="J48" s="889" t="s">
        <v>471</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847</v>
      </c>
      <c r="X48" s="164">
        <v>2.92</v>
      </c>
      <c r="Y48" s="822">
        <v>2.6379999999999999</v>
      </c>
      <c r="Z48" s="881"/>
      <c r="AA48" s="881"/>
      <c r="AB48" s="1174" t="s">
        <v>817</v>
      </c>
      <c r="AC48" s="1175"/>
      <c r="AD48" s="807">
        <v>40</v>
      </c>
      <c r="AE48" s="507"/>
      <c r="AF48" s="517"/>
      <c r="AG48" s="88" t="s">
        <v>686</v>
      </c>
      <c r="AH48" s="88" t="s">
        <v>359</v>
      </c>
      <c r="AI48" s="1144" t="s">
        <v>579</v>
      </c>
      <c r="AJ48" s="1145"/>
      <c r="AK48" s="1145"/>
      <c r="AL48" s="1145"/>
      <c r="AM48" s="1145"/>
      <c r="AN48" s="1146"/>
      <c r="AO48" s="113"/>
      <c r="AP48" s="105"/>
      <c r="AQ48" s="241"/>
      <c r="AR48" s="452"/>
    </row>
    <row r="49" spans="1:57" ht="16.2" customHeight="1" x14ac:dyDescent="0.3">
      <c r="A49" s="83"/>
      <c r="B49" s="104"/>
      <c r="C49" s="888" t="s">
        <v>854</v>
      </c>
      <c r="D49" s="888" t="s">
        <v>1018</v>
      </c>
      <c r="E49" s="889"/>
      <c r="F49" s="254" t="s">
        <v>486</v>
      </c>
      <c r="G49" s="254">
        <v>2020</v>
      </c>
      <c r="H49" s="254" t="s">
        <v>477</v>
      </c>
      <c r="I49" s="889" t="s">
        <v>867</v>
      </c>
      <c r="J49" s="889" t="s">
        <v>471</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848</v>
      </c>
      <c r="X49" s="275">
        <f>+(X45*(1+X46)*4/(PI()*X48))^(1/3)</f>
        <v>2.4658430585085549</v>
      </c>
      <c r="Y49" s="275">
        <f>+(Y45*(1+Y46)*4/(PI()*Y48))^(1/3)</f>
        <v>0.9182577726436234</v>
      </c>
      <c r="Z49" s="507"/>
      <c r="AA49" s="507"/>
      <c r="AB49" s="1172" t="s">
        <v>818</v>
      </c>
      <c r="AC49" s="1107"/>
      <c r="AD49" s="807">
        <v>0.7</v>
      </c>
      <c r="AE49" s="507"/>
      <c r="AF49" s="517"/>
      <c r="AG49" s="919">
        <v>5</v>
      </c>
      <c r="AH49" s="919" t="s">
        <v>980</v>
      </c>
      <c r="AI49" s="1205" t="s">
        <v>979</v>
      </c>
      <c r="AJ49" s="1205"/>
      <c r="AK49" s="1205"/>
      <c r="AL49" s="1205"/>
      <c r="AM49" s="1205"/>
      <c r="AN49" s="1205"/>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849</v>
      </c>
      <c r="X50" s="164">
        <v>0.3</v>
      </c>
      <c r="Y50" s="863">
        <v>0.7</v>
      </c>
      <c r="Z50" s="507"/>
      <c r="AA50" s="507"/>
      <c r="AB50" s="1172" t="s">
        <v>819</v>
      </c>
      <c r="AC50" s="1107"/>
      <c r="AD50" s="807">
        <v>1500</v>
      </c>
      <c r="AE50" s="507"/>
      <c r="AF50" s="517"/>
      <c r="AG50" s="921">
        <v>6</v>
      </c>
      <c r="AH50" s="921" t="s">
        <v>1029</v>
      </c>
      <c r="AI50" s="1206" t="s">
        <v>1028</v>
      </c>
      <c r="AJ50" s="1206"/>
      <c r="AK50" s="1206"/>
      <c r="AL50" s="1206"/>
      <c r="AM50" s="1206"/>
      <c r="AN50" s="1206"/>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850</v>
      </c>
      <c r="X51" s="825">
        <v>0.05</v>
      </c>
      <c r="Y51" s="869">
        <v>0.05</v>
      </c>
      <c r="Z51" s="507"/>
      <c r="AA51" s="507"/>
      <c r="AB51" s="1151" t="s">
        <v>820</v>
      </c>
      <c r="AC51" s="1152"/>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1.5981651716644059</v>
      </c>
      <c r="S53" s="552" cm="1">
        <f t="array" aca="1" ref="S53" ca="1">+IF(R53="",0,R53*INDIRECT(ADDRESS(MATCH(O53,'Cost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WGS</v>
      </c>
      <c r="C57" s="1095"/>
      <c r="D57" s="1095"/>
      <c r="E57" s="1095"/>
      <c r="F57" s="1095"/>
      <c r="G57" s="1096"/>
      <c r="H57" s="1094" t="str">
        <f>+"Estimate Benchmark: "&amp;E6</f>
        <v>Estimate Benchmark: WGS</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W43:Y43"/>
    <mergeCell ref="W36:Y36"/>
    <mergeCell ref="AG40:AH40"/>
    <mergeCell ref="AB40:AD40"/>
    <mergeCell ref="AB36:AK36"/>
    <mergeCell ref="AE40:AF40"/>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H₂ Production</v>
      </c>
      <c r="P3" s="1095"/>
      <c r="Q3" s="1095"/>
      <c r="R3" s="1095"/>
      <c r="S3" s="1096"/>
      <c r="T3" s="106"/>
      <c r="U3" s="106"/>
      <c r="V3" s="112"/>
      <c r="W3" s="1140" t="str">
        <f>+E6&amp;" Diagram"</f>
        <v>H₂ Production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Overview'!V41</f>
        <v>H₂ Production</v>
      </c>
      <c r="F6" s="105"/>
      <c r="G6" s="85"/>
      <c r="H6" s="395" t="s">
        <v>262</v>
      </c>
      <c r="I6" s="92"/>
      <c r="J6" s="1136"/>
      <c r="K6" s="1137"/>
      <c r="L6" s="189" t="s">
        <v>470</v>
      </c>
      <c r="M6" s="86" t="s">
        <v>504</v>
      </c>
      <c r="N6" s="501"/>
      <c r="O6" s="1109" t="str">
        <f>+'Plant Overview'!X41</f>
        <v>PSA, Off gas and H2 compression &amp; Auxiliaries</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Overview'!W41</f>
        <v>U-500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434</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957</v>
      </c>
      <c r="D13" s="267" t="s">
        <v>261</v>
      </c>
      <c r="E13" s="267" t="s">
        <v>23</v>
      </c>
      <c r="F13" s="889">
        <v>4240</v>
      </c>
      <c r="G13" s="889" t="s">
        <v>354</v>
      </c>
      <c r="H13" s="889" t="s">
        <v>473</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1020</v>
      </c>
      <c r="D14" s="267" t="s">
        <v>518</v>
      </c>
      <c r="E14" s="267" t="s">
        <v>36</v>
      </c>
      <c r="F14" s="889">
        <f>+F13</f>
        <v>4240</v>
      </c>
      <c r="G14" s="889" t="s">
        <v>354</v>
      </c>
      <c r="H14" s="889" t="s">
        <v>473</v>
      </c>
      <c r="I14" s="889" t="s">
        <v>569</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958</v>
      </c>
      <c r="D15" s="267" t="s">
        <v>261</v>
      </c>
      <c r="E15" s="267" t="s">
        <v>23</v>
      </c>
      <c r="F15" s="889">
        <v>1153</v>
      </c>
      <c r="G15" s="889" t="s">
        <v>354</v>
      </c>
      <c r="H15" s="889" t="s">
        <v>473</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1021</v>
      </c>
      <c r="D16" s="267" t="s">
        <v>518</v>
      </c>
      <c r="E16" s="267" t="s">
        <v>36</v>
      </c>
      <c r="F16" s="889">
        <f>+F15</f>
        <v>1153</v>
      </c>
      <c r="G16" s="889" t="s">
        <v>354</v>
      </c>
      <c r="H16" s="889" t="s">
        <v>473</v>
      </c>
      <c r="I16" s="889" t="s">
        <v>569</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959</v>
      </c>
      <c r="D17" s="267" t="s">
        <v>252</v>
      </c>
      <c r="E17" s="267" t="s">
        <v>117</v>
      </c>
      <c r="F17" s="392">
        <f>+X42*1000/3600/AD42</f>
        <v>189.20340601403097</v>
      </c>
      <c r="G17" s="889">
        <f>+AB42</f>
        <v>33</v>
      </c>
      <c r="H17" s="889" t="s">
        <v>352</v>
      </c>
      <c r="I17" s="889" t="s">
        <v>561</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960</v>
      </c>
      <c r="D18" s="267" t="s">
        <v>252</v>
      </c>
      <c r="E18" s="267" t="s">
        <v>117</v>
      </c>
      <c r="F18" s="392">
        <f t="shared" ref="F18:F19" si="3">+X43*1000/3600/AD43</f>
        <v>77.757334798639192</v>
      </c>
      <c r="G18" s="889">
        <f t="shared" ref="G18:G19" si="4">+AB43</f>
        <v>31.8</v>
      </c>
      <c r="H18" s="889" t="s">
        <v>352</v>
      </c>
      <c r="I18" s="889" t="s">
        <v>474</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961</v>
      </c>
      <c r="D19" s="267" t="s">
        <v>252</v>
      </c>
      <c r="E19" s="267" t="s">
        <v>117</v>
      </c>
      <c r="F19" s="392">
        <f t="shared" si="3"/>
        <v>89.287563898141912</v>
      </c>
      <c r="G19" s="889">
        <f t="shared" si="4"/>
        <v>60</v>
      </c>
      <c r="H19" s="889" t="s">
        <v>352</v>
      </c>
      <c r="I19" s="889" t="s">
        <v>485</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962</v>
      </c>
      <c r="D20" s="267" t="s">
        <v>260</v>
      </c>
      <c r="E20" s="267" t="s">
        <v>201</v>
      </c>
      <c r="F20" s="168">
        <f>+AE38+AD38</f>
        <v>1.789919822448617</v>
      </c>
      <c r="G20" s="889">
        <f>+AF38</f>
        <v>31</v>
      </c>
      <c r="H20" s="889" t="s">
        <v>471</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7" t="str">
        <f>+E6&amp;" Calculations"</f>
        <v>H₂ Production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2" t="s">
        <v>856</v>
      </c>
      <c r="X36" s="1203"/>
      <c r="Y36" s="1203"/>
      <c r="Z36" s="1203"/>
      <c r="AA36" s="1203"/>
      <c r="AB36" s="1203"/>
      <c r="AC36" s="1203"/>
      <c r="AD36" s="1203"/>
      <c r="AE36" s="1203"/>
      <c r="AF36" s="1204"/>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461</v>
      </c>
      <c r="X37" s="865" t="s">
        <v>857</v>
      </c>
      <c r="Y37" s="865" t="s">
        <v>858</v>
      </c>
      <c r="Z37" s="865" t="s">
        <v>859</v>
      </c>
      <c r="AA37" s="865" t="s">
        <v>860</v>
      </c>
      <c r="AB37" s="865" t="s">
        <v>865</v>
      </c>
      <c r="AC37" s="865" t="s">
        <v>861</v>
      </c>
      <c r="AD37" s="826" t="s">
        <v>862</v>
      </c>
      <c r="AE37" s="827" t="s">
        <v>863</v>
      </c>
      <c r="AF37" s="830" t="s">
        <v>866</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6" t="s">
        <v>822</v>
      </c>
      <c r="X40" s="1197"/>
      <c r="Y40" s="1198"/>
      <c r="Z40" s="1150" t="s">
        <v>823</v>
      </c>
      <c r="AA40" s="1119"/>
      <c r="AB40" s="1150" t="s">
        <v>824</v>
      </c>
      <c r="AC40" s="1119"/>
      <c r="AD40" s="865" t="s">
        <v>825</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826</v>
      </c>
      <c r="Y41" s="865" t="s">
        <v>827</v>
      </c>
      <c r="Z41" s="808" t="s">
        <v>828</v>
      </c>
      <c r="AA41" s="808" t="s">
        <v>829</v>
      </c>
      <c r="AB41" s="810" t="s">
        <v>828</v>
      </c>
      <c r="AC41" s="808" t="s">
        <v>829</v>
      </c>
      <c r="AD41" s="186" t="s">
        <v>830</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833</v>
      </c>
      <c r="X42" s="865">
        <v>155782.486188132</v>
      </c>
      <c r="Y42" s="871" t="s">
        <v>835</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834</v>
      </c>
      <c r="X43" s="865">
        <v>96991.421098260995</v>
      </c>
      <c r="Y43" s="871" t="s">
        <v>871</v>
      </c>
      <c r="Z43" s="867" t="s">
        <v>819</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65" t="s">
        <v>869</v>
      </c>
      <c r="X44" s="865">
        <v>153814.24297287999</v>
      </c>
      <c r="Y44" s="871" t="s">
        <v>872</v>
      </c>
      <c r="Z44" s="868" t="s">
        <v>819</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42"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1022</v>
      </c>
      <c r="D46" s="885" t="s">
        <v>956</v>
      </c>
      <c r="E46" s="886" t="s">
        <v>876</v>
      </c>
      <c r="F46" s="383" t="s">
        <v>455</v>
      </c>
      <c r="G46" s="383">
        <v>2014</v>
      </c>
      <c r="H46" s="383" t="s">
        <v>487</v>
      </c>
      <c r="I46" s="886" t="s">
        <v>815</v>
      </c>
      <c r="J46" s="886" t="s">
        <v>877</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388" t="s">
        <v>686</v>
      </c>
      <c r="AH48" s="88" t="s">
        <v>359</v>
      </c>
      <c r="AI48" s="1207" t="s">
        <v>579</v>
      </c>
      <c r="AJ48" s="1207"/>
      <c r="AK48" s="1207"/>
      <c r="AL48" s="1207"/>
      <c r="AM48" s="1207"/>
      <c r="AN48" s="1208"/>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8.9965891198092862</v>
      </c>
      <c r="S53" s="552" cm="1">
        <f t="array" aca="1" ref="S53" ca="1">+IF(R53="",0,R53*INDIRECT(ADDRESS(MATCH(O53,'Cost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H₂ Production</v>
      </c>
      <c r="C57" s="1095"/>
      <c r="D57" s="1095"/>
      <c r="E57" s="1095"/>
      <c r="F57" s="1095"/>
      <c r="G57" s="1096"/>
      <c r="H57" s="1094" t="str">
        <f>+"Estimate Benchmark: "&amp;D46</f>
        <v>Estimate Benchmark: PSA Unit</v>
      </c>
      <c r="I57" s="1095"/>
      <c r="J57" s="1095"/>
      <c r="K57" s="1095"/>
      <c r="L57" s="1095"/>
      <c r="M57" s="1095"/>
      <c r="N57" s="1096"/>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686</v>
      </c>
      <c r="I80" s="129" t="s">
        <v>359</v>
      </c>
      <c r="J80" s="1181" t="s">
        <v>579</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86">
        <v>6</v>
      </c>
      <c r="I81" s="86" t="s">
        <v>1040</v>
      </c>
      <c r="J81" s="1177" t="s">
        <v>1041</v>
      </c>
      <c r="K81" s="1212"/>
      <c r="L81" s="1212"/>
      <c r="M81" s="1212"/>
      <c r="N81" s="121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866">
        <v>7</v>
      </c>
      <c r="I82" s="917" t="s">
        <v>876</v>
      </c>
      <c r="J82" s="1209" t="s">
        <v>981</v>
      </c>
      <c r="K82" s="1210"/>
      <c r="L82" s="1210"/>
      <c r="M82" s="1210"/>
      <c r="N82" s="1211"/>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B81:G82"/>
    <mergeCell ref="P54:Q54"/>
    <mergeCell ref="B57:G57"/>
    <mergeCell ref="H57:N57"/>
    <mergeCell ref="C6:C7"/>
    <mergeCell ref="C8:C9"/>
    <mergeCell ref="W50:X50"/>
    <mergeCell ref="W51:X51"/>
    <mergeCell ref="W52:X52"/>
    <mergeCell ref="D11:L11"/>
    <mergeCell ref="M11:R11"/>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C3:F3"/>
    <mergeCell ref="G3:H3"/>
    <mergeCell ref="J3:M3"/>
    <mergeCell ref="O3:S3"/>
    <mergeCell ref="W3:AN3"/>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CO₂ CPU</v>
      </c>
      <c r="P3" s="1095"/>
      <c r="Q3" s="1095"/>
      <c r="R3" s="1095"/>
      <c r="S3" s="1096"/>
      <c r="T3" s="106"/>
      <c r="U3" s="106"/>
      <c r="V3" s="112"/>
      <c r="W3" s="1140" t="str">
        <f>+E6&amp;" Diagram"</f>
        <v>CO₂ CPU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Overview'!V42</f>
        <v>CO₂ CPU</v>
      </c>
      <c r="F6" s="105"/>
      <c r="G6" s="85"/>
      <c r="H6" s="395" t="s">
        <v>262</v>
      </c>
      <c r="I6" s="92"/>
      <c r="J6" s="1136"/>
      <c r="K6" s="1137"/>
      <c r="L6" s="189" t="s">
        <v>470</v>
      </c>
      <c r="M6" s="86" t="s">
        <v>504</v>
      </c>
      <c r="N6" s="501"/>
      <c r="O6" s="1109" t="str">
        <f>+'Plant Overview'!X42</f>
        <v>CO2 Cryogenic Purification Unit</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Overview'!W42</f>
        <v>U-600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434</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965</v>
      </c>
      <c r="D13" s="267" t="s">
        <v>252</v>
      </c>
      <c r="E13" s="267" t="s">
        <v>117</v>
      </c>
      <c r="F13" s="392">
        <f>+X39*1000/3600/AD39</f>
        <v>187.68099100920222</v>
      </c>
      <c r="G13" s="889">
        <v>30</v>
      </c>
      <c r="H13" s="889" t="s">
        <v>352</v>
      </c>
      <c r="I13" s="889" t="s">
        <v>560</v>
      </c>
      <c r="J13" s="889" t="str">
        <f>+IF(F13&gt;'Equipment Data'!$L$126,"yes","No")</f>
        <v>No</v>
      </c>
      <c r="K13" s="889">
        <v>0.67</v>
      </c>
      <c r="L13" s="889"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966</v>
      </c>
      <c r="D14" s="267" t="s">
        <v>252</v>
      </c>
      <c r="E14" s="267" t="s">
        <v>117</v>
      </c>
      <c r="F14" s="392">
        <f>+X40*1000/3600/AD40</f>
        <v>4.0263768057490781</v>
      </c>
      <c r="G14" s="889">
        <v>30</v>
      </c>
      <c r="H14" s="889" t="s">
        <v>352</v>
      </c>
      <c r="I14" s="889" t="s">
        <v>560</v>
      </c>
      <c r="J14" s="889" t="str">
        <f>+IF(F14&gt;'Equipment Data'!$L$126,"yes","No")</f>
        <v>No</v>
      </c>
      <c r="K14" s="889">
        <v>0.67</v>
      </c>
      <c r="L14" s="889"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967</v>
      </c>
      <c r="D15" s="267" t="s">
        <v>260</v>
      </c>
      <c r="E15" s="267" t="s">
        <v>201</v>
      </c>
      <c r="F15" s="168">
        <f>+AD45+AE45</f>
        <v>3.937285332525343</v>
      </c>
      <c r="G15" s="889">
        <f>+AF45</f>
        <v>31</v>
      </c>
      <c r="H15" s="889" t="s">
        <v>471</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968</v>
      </c>
      <c r="D16" s="267" t="s">
        <v>260</v>
      </c>
      <c r="E16" s="267" t="s">
        <v>201</v>
      </c>
      <c r="F16" s="168">
        <f>+AD46+AE46</f>
        <v>7.2123548662970577E-2</v>
      </c>
      <c r="G16" s="889">
        <f>+AF46</f>
        <v>30</v>
      </c>
      <c r="H16" s="889" t="s">
        <v>471</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969</v>
      </c>
      <c r="D17" s="267" t="s">
        <v>261</v>
      </c>
      <c r="E17" s="267" t="s">
        <v>23</v>
      </c>
      <c r="F17" s="392">
        <v>11.0148024288192</v>
      </c>
      <c r="G17" s="889" t="s">
        <v>354</v>
      </c>
      <c r="H17" s="889" t="s">
        <v>473</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970</v>
      </c>
      <c r="D18" s="267" t="s">
        <v>261</v>
      </c>
      <c r="E18" s="267" t="s">
        <v>23</v>
      </c>
      <c r="F18" s="392">
        <v>590.38945207965298</v>
      </c>
      <c r="G18" s="889" t="s">
        <v>354</v>
      </c>
      <c r="H18" s="889" t="s">
        <v>473</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1045</v>
      </c>
      <c r="D19" s="267" t="s">
        <v>518</v>
      </c>
      <c r="E19" s="267" t="s">
        <v>36</v>
      </c>
      <c r="F19" s="392">
        <f>+F17+F18</f>
        <v>601.40425450847215</v>
      </c>
      <c r="G19" s="889" t="s">
        <v>354</v>
      </c>
      <c r="H19" s="889" t="s">
        <v>473</v>
      </c>
      <c r="I19" s="889" t="s">
        <v>569</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252</v>
      </c>
      <c r="E20" s="267" t="s">
        <v>117</v>
      </c>
      <c r="F20" s="168">
        <f>+X41*1000/3600/AD41</f>
        <v>596.88152264423513</v>
      </c>
      <c r="G20" s="889">
        <f>+AB41</f>
        <v>20</v>
      </c>
      <c r="H20" s="889" t="s">
        <v>352</v>
      </c>
      <c r="I20" s="889" t="s">
        <v>474</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971</v>
      </c>
      <c r="D21" s="267" t="s">
        <v>252</v>
      </c>
      <c r="E21" s="267" t="s">
        <v>117</v>
      </c>
      <c r="F21" s="168">
        <f>+X42*1000/3600/AD42</f>
        <v>0.75414555088957591</v>
      </c>
      <c r="G21" s="889">
        <f>+AB42</f>
        <v>80</v>
      </c>
      <c r="H21" s="889" t="s">
        <v>352</v>
      </c>
      <c r="I21" s="889" t="s">
        <v>474</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954</v>
      </c>
      <c r="D22" s="267" t="s">
        <v>269</v>
      </c>
      <c r="E22" s="267" t="s">
        <v>156</v>
      </c>
      <c r="F22" s="889">
        <v>96.508701248476299</v>
      </c>
      <c r="G22" s="889">
        <v>150</v>
      </c>
      <c r="H22" s="889" t="s">
        <v>473</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1043</v>
      </c>
      <c r="D23" s="267" t="s">
        <v>148</v>
      </c>
      <c r="E23" s="267" t="s">
        <v>178</v>
      </c>
      <c r="F23" s="168">
        <f>1000*0.03831</f>
        <v>38.309999999999995</v>
      </c>
      <c r="G23" s="889" t="s">
        <v>354</v>
      </c>
      <c r="H23" s="889" t="s">
        <v>473</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1044</v>
      </c>
      <c r="D24" s="267" t="s">
        <v>518</v>
      </c>
      <c r="E24" s="267" t="s">
        <v>36</v>
      </c>
      <c r="F24" s="168">
        <f>+F23</f>
        <v>38.309999999999995</v>
      </c>
      <c r="G24" s="889" t="s">
        <v>354</v>
      </c>
      <c r="H24" s="889" t="s">
        <v>473</v>
      </c>
      <c r="I24" s="889" t="s">
        <v>569</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7" t="str">
        <f>+E6&amp;" Calculations"</f>
        <v>CO₂ CPU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826</v>
      </c>
      <c r="Y38" s="865" t="s">
        <v>827</v>
      </c>
      <c r="Z38" s="810" t="s">
        <v>828</v>
      </c>
      <c r="AA38" s="808" t="s">
        <v>829</v>
      </c>
      <c r="AB38" s="810" t="s">
        <v>828</v>
      </c>
      <c r="AC38" s="821"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831</v>
      </c>
      <c r="Z39" s="671" t="s">
        <v>832</v>
      </c>
      <c r="AA39" s="814">
        <f t="shared" ref="AA39:AA42" si="4">IF(Z39="Ph. Ch.",$Y$52,IF(Z39="Liquid",$Y$51,$Y$49*Z39^$Y$50))</f>
        <v>5000</v>
      </c>
      <c r="AB39" s="809" t="s">
        <v>832</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831</v>
      </c>
      <c r="Z40" s="116" t="s">
        <v>832</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873</v>
      </c>
      <c r="Z41" s="867" t="s">
        <v>819</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873</v>
      </c>
      <c r="Z42" s="868" t="s">
        <v>819</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2" t="s">
        <v>856</v>
      </c>
      <c r="X43" s="1203"/>
      <c r="Y43" s="1203"/>
      <c r="Z43" s="1213"/>
      <c r="AA43" s="1213"/>
      <c r="AB43" s="1213"/>
      <c r="AC43" s="1213"/>
      <c r="AD43" s="1213"/>
      <c r="AE43" s="1203"/>
      <c r="AF43" s="1204"/>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65" t="s">
        <v>461</v>
      </c>
      <c r="X44" s="865" t="s">
        <v>857</v>
      </c>
      <c r="Y44" s="865" t="s">
        <v>858</v>
      </c>
      <c r="Z44" s="865" t="s">
        <v>859</v>
      </c>
      <c r="AA44" s="865" t="s">
        <v>860</v>
      </c>
      <c r="AB44" s="865" t="s">
        <v>865</v>
      </c>
      <c r="AC44" s="865" t="s">
        <v>861</v>
      </c>
      <c r="AD44" s="826" t="s">
        <v>862</v>
      </c>
      <c r="AE44" s="827" t="s">
        <v>863</v>
      </c>
      <c r="AF44" s="830" t="s">
        <v>866</v>
      </c>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88" t="s">
        <v>686</v>
      </c>
      <c r="AH48" s="88" t="s">
        <v>359</v>
      </c>
      <c r="AI48" s="1214" t="s">
        <v>579</v>
      </c>
      <c r="AJ48" s="1214"/>
      <c r="AK48" s="1214"/>
      <c r="AL48" s="1214"/>
      <c r="AM48" s="1214"/>
      <c r="AN48" s="121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G49" s="921">
        <v>8</v>
      </c>
      <c r="AH49" s="921" t="s">
        <v>983</v>
      </c>
      <c r="AI49" s="1205" t="s">
        <v>982</v>
      </c>
      <c r="AJ49" s="1205"/>
      <c r="AK49" s="1205"/>
      <c r="AL49" s="1205"/>
      <c r="AM49" s="1205"/>
      <c r="AN49" s="120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2.2236332481827241</v>
      </c>
      <c r="S53" s="552" cm="1">
        <f t="array" aca="1" ref="S53" ca="1">+IF(R53="",0,R53*INDIRECT(ADDRESS(MATCH(O53,'Cost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CO₂ CPU</v>
      </c>
      <c r="C57" s="1095"/>
      <c r="D57" s="1095"/>
      <c r="E57" s="1095"/>
      <c r="F57" s="1095"/>
      <c r="G57" s="1096"/>
      <c r="H57" s="1094" t="str">
        <f>+"Estimate Benchmark: "&amp;E6</f>
        <v>Estimate Benchmark: CO₂ CPU</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94" t="s">
        <v>270</v>
      </c>
      <c r="D3" s="1095"/>
      <c r="E3" s="1095"/>
      <c r="F3" s="1096"/>
      <c r="G3" s="1094" t="s">
        <v>341</v>
      </c>
      <c r="H3" s="1096"/>
      <c r="J3" s="1094" t="s">
        <v>499</v>
      </c>
      <c r="K3" s="1095"/>
      <c r="L3" s="1095"/>
      <c r="M3" s="1096"/>
      <c r="O3" s="1094" t="str">
        <f>+E6</f>
        <v>CWT</v>
      </c>
      <c r="P3" s="1095"/>
      <c r="Q3" s="1095"/>
      <c r="R3" s="1095"/>
      <c r="S3" s="1096"/>
      <c r="T3" s="106"/>
      <c r="U3" s="104"/>
      <c r="V3" s="120"/>
      <c r="W3" s="1140" t="str">
        <f>+E6&amp;" Diagram"</f>
        <v>CWT Diagram</v>
      </c>
      <c r="X3" s="1141"/>
      <c r="Y3" s="1141"/>
      <c r="Z3" s="1141"/>
      <c r="AA3" s="1141"/>
      <c r="AB3" s="1141"/>
      <c r="AC3" s="1141"/>
      <c r="AD3" s="1141"/>
      <c r="AE3" s="1141"/>
      <c r="AF3" s="1141"/>
      <c r="AG3" s="1141"/>
      <c r="AH3" s="1142"/>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00" t="s">
        <v>265</v>
      </c>
      <c r="E5" s="1101"/>
      <c r="F5" s="211"/>
      <c r="G5" s="1100" t="s">
        <v>267</v>
      </c>
      <c r="H5" s="1101"/>
      <c r="J5" s="734"/>
      <c r="K5" s="735"/>
      <c r="L5" s="214" t="s">
        <v>469</v>
      </c>
      <c r="M5" s="500" t="s">
        <v>503</v>
      </c>
      <c r="O5" s="1065" t="s">
        <v>579</v>
      </c>
      <c r="P5" s="1066"/>
      <c r="Q5" s="1066"/>
      <c r="R5" s="1066"/>
      <c r="S5" s="1067"/>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66" t="s">
        <v>495</v>
      </c>
      <c r="D6" s="589" t="s">
        <v>677</v>
      </c>
      <c r="E6" s="604" t="str">
        <f>+'Plant Overview'!V43</f>
        <v>CWT</v>
      </c>
      <c r="F6" s="212"/>
      <c r="G6" s="85"/>
      <c r="H6" s="395" t="s">
        <v>262</v>
      </c>
      <c r="J6" s="736"/>
      <c r="K6" s="737"/>
      <c r="L6" s="94" t="s">
        <v>470</v>
      </c>
      <c r="M6" s="86" t="s">
        <v>504</v>
      </c>
      <c r="O6" s="1109" t="str">
        <f>+'Plant Overview'!X43</f>
        <v>Heat Rejection Auxiliaries: Cooling water tower</v>
      </c>
      <c r="P6" s="1110"/>
      <c r="Q6" s="1110"/>
      <c r="R6" s="1110"/>
      <c r="S6" s="1111"/>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67"/>
      <c r="D7" s="589" t="s">
        <v>676</v>
      </c>
      <c r="E7" s="548" t="str">
        <f>+'Plant Overview'!W43</f>
        <v>U-700</v>
      </c>
      <c r="F7" s="212"/>
      <c r="G7" s="208"/>
      <c r="H7" s="395" t="s">
        <v>263</v>
      </c>
      <c r="J7" s="736"/>
      <c r="K7" s="737"/>
      <c r="L7" s="214" t="s">
        <v>464</v>
      </c>
      <c r="M7" s="500" t="s">
        <v>502</v>
      </c>
      <c r="O7" s="1112"/>
      <c r="P7" s="1113"/>
      <c r="Q7" s="1113"/>
      <c r="R7" s="1113"/>
      <c r="S7" s="1114"/>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16"/>
      <c r="D8" s="1217" t="s">
        <v>312</v>
      </c>
      <c r="E8" s="1157" t="s">
        <v>316</v>
      </c>
      <c r="F8" s="213"/>
      <c r="G8" s="95"/>
      <c r="H8" s="724" t="s">
        <v>264</v>
      </c>
      <c r="J8" s="736"/>
      <c r="K8" s="737"/>
      <c r="L8" s="214" t="s">
        <v>465</v>
      </c>
      <c r="M8" s="500" t="s">
        <v>500</v>
      </c>
      <c r="O8" s="1112"/>
      <c r="P8" s="1113"/>
      <c r="Q8" s="1113"/>
      <c r="R8" s="1113"/>
      <c r="S8" s="1114"/>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81"/>
      <c r="D9" s="1218"/>
      <c r="E9" s="1158"/>
      <c r="F9" s="213"/>
      <c r="G9" s="110"/>
      <c r="H9" s="726" t="s">
        <v>268</v>
      </c>
      <c r="J9" s="738"/>
      <c r="K9" s="739"/>
      <c r="L9" s="214" t="s">
        <v>466</v>
      </c>
      <c r="M9" s="500" t="s">
        <v>501</v>
      </c>
      <c r="O9" s="1115"/>
      <c r="P9" s="1116"/>
      <c r="Q9" s="1116"/>
      <c r="R9" s="1116"/>
      <c r="S9" s="1117"/>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94" t="s">
        <v>507</v>
      </c>
      <c r="E11" s="1095"/>
      <c r="F11" s="1095"/>
      <c r="G11" s="1095"/>
      <c r="H11" s="1095"/>
      <c r="I11" s="1095"/>
      <c r="J11" s="1095"/>
      <c r="K11" s="1094" t="s">
        <v>506</v>
      </c>
      <c r="L11" s="1095"/>
      <c r="M11" s="1095"/>
      <c r="N11" s="1095"/>
      <c r="O11" s="1096"/>
      <c r="P11" s="1094" t="s">
        <v>509</v>
      </c>
      <c r="Q11" s="1095"/>
      <c r="R11" s="1096"/>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498</v>
      </c>
      <c r="E12" s="728" t="s">
        <v>497</v>
      </c>
      <c r="F12" s="553" t="s">
        <v>463</v>
      </c>
      <c r="G12" s="553" t="s">
        <v>582</v>
      </c>
      <c r="H12" s="553" t="s">
        <v>508</v>
      </c>
      <c r="I12" s="728" t="s">
        <v>505</v>
      </c>
      <c r="J12" s="728" t="s">
        <v>235</v>
      </c>
      <c r="K12" s="538" t="s">
        <v>465</v>
      </c>
      <c r="L12" s="728" t="s">
        <v>466</v>
      </c>
      <c r="M12" s="545" t="s">
        <v>585</v>
      </c>
      <c r="N12" s="546" t="s">
        <v>468</v>
      </c>
      <c r="O12" s="542" t="s">
        <v>467</v>
      </c>
      <c r="P12" s="538" t="s">
        <v>464</v>
      </c>
      <c r="Q12" s="538" t="s">
        <v>470</v>
      </c>
      <c r="R12" s="589" t="s">
        <v>469</v>
      </c>
      <c r="S12" s="589" t="s">
        <v>496</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1023</v>
      </c>
      <c r="D13" s="716" t="s">
        <v>349</v>
      </c>
      <c r="E13" s="717" t="str">
        <f>+I65</f>
        <v>CWT Cost</v>
      </c>
      <c r="F13" s="717" t="s">
        <v>486</v>
      </c>
      <c r="G13" s="717">
        <v>2020</v>
      </c>
      <c r="H13" s="717" t="s">
        <v>477</v>
      </c>
      <c r="I13" s="717" t="s">
        <v>802</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19"/>
      <c r="Q34" s="1220"/>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638</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94" t="str">
        <f>+"BEC Distribution: "&amp;E6</f>
        <v>BEC Distribution: CWT</v>
      </c>
      <c r="C39" s="1095"/>
      <c r="D39" s="1095"/>
      <c r="E39" s="1095"/>
      <c r="F39" s="1095"/>
      <c r="G39" s="1094" t="str">
        <f>+"Estimate Benchmark: "&amp;E6</f>
        <v>Estimate Benchmark: CWT</v>
      </c>
      <c r="H39" s="1095"/>
      <c r="I39" s="1095"/>
      <c r="J39" s="1096"/>
      <c r="K39" s="1094" t="s">
        <v>633</v>
      </c>
      <c r="L39" s="1095"/>
      <c r="M39" s="1096"/>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588</v>
      </c>
      <c r="L40" s="1065" t="s">
        <v>632</v>
      </c>
      <c r="M40" s="1067"/>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15" t="s">
        <v>349</v>
      </c>
      <c r="M41" s="1215"/>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21"/>
      <c r="M42" s="1222"/>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23"/>
      <c r="M43" s="1224"/>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23"/>
      <c r="M44" s="1224"/>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686</v>
      </c>
      <c r="H64" s="88" t="s">
        <v>359</v>
      </c>
      <c r="I64" s="1207" t="s">
        <v>579</v>
      </c>
      <c r="J64" s="1207"/>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1030</v>
      </c>
      <c r="I65" s="1225" t="s">
        <v>1031</v>
      </c>
      <c r="J65" s="1226"/>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D6" sqref="D6"/>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573</v>
      </c>
      <c r="C1" s="257"/>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461</v>
      </c>
      <c r="C3" s="556" t="s">
        <v>462</v>
      </c>
      <c r="D3" s="554" t="s">
        <v>660</v>
      </c>
      <c r="E3" s="554" t="s">
        <v>661</v>
      </c>
      <c r="F3" s="554" t="s">
        <v>680</v>
      </c>
      <c r="G3" s="554" t="s">
        <v>681</v>
      </c>
      <c r="H3" s="554" t="s">
        <v>874</v>
      </c>
      <c r="I3" s="554" t="s">
        <v>875</v>
      </c>
      <c r="J3" s="554" t="s">
        <v>972</v>
      </c>
      <c r="K3" s="554" t="s">
        <v>440</v>
      </c>
      <c r="L3" s="174"/>
      <c r="M3" s="92"/>
      <c r="N3" s="92"/>
    </row>
    <row r="4" spans="1:15" ht="38.4" customHeight="1" x14ac:dyDescent="0.3">
      <c r="A4" s="83"/>
      <c r="B4" s="87" t="s">
        <v>670</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589</v>
      </c>
      <c r="L5" s="174"/>
      <c r="M5" s="92"/>
      <c r="N5" s="92"/>
    </row>
    <row r="6" spans="1:15" ht="38.4" customHeight="1" thickBot="1" x14ac:dyDescent="0.35">
      <c r="A6" s="83"/>
      <c r="B6" s="276" t="s">
        <v>586</v>
      </c>
      <c r="C6" s="188" t="s">
        <v>587</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656</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656</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657</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654</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v>93.015693664550781</v>
      </c>
      <c r="L13" s="83"/>
    </row>
    <row r="14" spans="1:15" ht="38.4" customHeight="1" thickTop="1" x14ac:dyDescent="0.3">
      <c r="A14" s="83"/>
      <c r="B14" s="192" t="s">
        <v>283</v>
      </c>
      <c r="C14" s="161" t="s">
        <v>655</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359</v>
      </c>
      <c r="C16" s="555" t="s">
        <v>462</v>
      </c>
      <c r="D16" s="573" t="s">
        <v>660</v>
      </c>
      <c r="E16" s="573" t="s">
        <v>661</v>
      </c>
      <c r="F16" s="573" t="s">
        <v>680</v>
      </c>
      <c r="G16" s="573" t="s">
        <v>681</v>
      </c>
      <c r="H16" s="841" t="s">
        <v>874</v>
      </c>
      <c r="I16" s="841" t="s">
        <v>875</v>
      </c>
      <c r="J16" s="841" t="s">
        <v>972</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656</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656</v>
      </c>
      <c r="D19" s="527">
        <v>0</v>
      </c>
      <c r="E19" s="527">
        <v>0.3</v>
      </c>
      <c r="F19" s="527">
        <v>0</v>
      </c>
      <c r="G19" s="527">
        <v>0</v>
      </c>
      <c r="H19" s="527">
        <v>0</v>
      </c>
      <c r="I19" s="527">
        <v>0</v>
      </c>
      <c r="J19" s="527">
        <v>0</v>
      </c>
      <c r="K19" s="177"/>
      <c r="L19" s="83"/>
      <c r="M19" s="83"/>
    </row>
    <row r="20" spans="1:15" ht="38.4" customHeight="1" x14ac:dyDescent="0.3">
      <c r="A20" s="83"/>
      <c r="B20" s="86" t="s">
        <v>275</v>
      </c>
      <c r="C20" s="86" t="s">
        <v>657</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654</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7" t="s">
        <v>631</v>
      </c>
      <c r="C28" s="1228"/>
      <c r="D28" s="92"/>
      <c r="E28" s="288"/>
      <c r="G28" s="83"/>
      <c r="H28" s="83"/>
      <c r="I28" s="83"/>
      <c r="J28" s="83"/>
      <c r="K28" s="83"/>
      <c r="L28" s="83"/>
      <c r="M28" s="83"/>
      <c r="N28" s="83"/>
      <c r="O28" s="83"/>
    </row>
    <row r="29" spans="1:15" ht="36" customHeight="1" x14ac:dyDescent="0.3">
      <c r="A29" s="83"/>
      <c r="B29" s="513" t="s">
        <v>463</v>
      </c>
      <c r="C29" s="565" t="str">
        <f>+'Plant Overview'!E9</f>
        <v>€</v>
      </c>
      <c r="D29" s="570" t="s">
        <v>495</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476</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592</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590</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591</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1106</v>
      </c>
      <c r="C37" s="436" t="s">
        <v>594</v>
      </c>
      <c r="D37" s="257"/>
      <c r="E37" s="83"/>
      <c r="F37" s="83"/>
      <c r="G37" s="83"/>
      <c r="H37" s="83"/>
      <c r="I37" s="83"/>
      <c r="J37" s="83"/>
      <c r="K37" s="83"/>
      <c r="L37" s="83"/>
      <c r="M37" s="83"/>
      <c r="N37" s="83"/>
      <c r="O37" s="83"/>
    </row>
    <row r="38" spans="1:15" ht="36" customHeight="1" x14ac:dyDescent="0.3">
      <c r="A38" s="83"/>
      <c r="B38" s="1033"/>
      <c r="C38" s="292"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5" r:id="rId8" name="Button 11">
              <controlPr defaultSize="0" print="0" autoFill="0" autoPict="0" macro="[0]!UpTot">
                <anchor moveWithCells="1" sizeWithCells="1">
                  <from>
                    <xdr:col>2</xdr:col>
                    <xdr:colOff>30480</xdr:colOff>
                    <xdr:row>0</xdr:row>
                    <xdr:rowOff>30480</xdr:rowOff>
                  </from>
                  <to>
                    <xdr:col>2</xdr:col>
                    <xdr:colOff>3108960</xdr:colOff>
                    <xdr:row>0</xdr:row>
                    <xdr:rowOff>365760</xdr:rowOff>
                  </to>
                </anchor>
              </controlPr>
            </control>
          </mc:Choice>
        </mc:AlternateContent>
      </controls>
    </mc:Choice>
  </mc:AlternateContent>
  <tableParts count="2">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tabSelected="1"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30" t="s">
        <v>574</v>
      </c>
      <c r="C2" s="1230"/>
      <c r="D2" s="105"/>
      <c r="E2" s="105"/>
      <c r="F2" s="105"/>
      <c r="G2" s="105"/>
      <c r="H2" s="105"/>
      <c r="I2" s="105"/>
      <c r="J2" s="83"/>
      <c r="K2" s="83"/>
      <c r="L2" s="83"/>
      <c r="M2" s="83"/>
      <c r="N2" s="83"/>
      <c r="O2" s="83"/>
      <c r="P2" s="83"/>
      <c r="Q2" s="83"/>
      <c r="R2" s="83"/>
      <c r="S2" s="1094" t="s">
        <v>643</v>
      </c>
      <c r="T2" s="1095"/>
      <c r="U2" s="1095"/>
      <c r="V2" s="1095"/>
      <c r="W2" s="1095"/>
      <c r="X2" s="1095"/>
      <c r="Y2" s="1096"/>
    </row>
    <row r="3" spans="1:33" ht="21" customHeight="1" x14ac:dyDescent="0.3">
      <c r="A3" s="83"/>
      <c r="B3" s="1230"/>
      <c r="C3" s="1230"/>
      <c r="D3" s="105"/>
      <c r="E3" s="105"/>
      <c r="F3" s="105"/>
      <c r="G3" s="105"/>
      <c r="H3" s="105"/>
      <c r="I3" s="105"/>
      <c r="J3" s="463"/>
      <c r="K3" s="463"/>
      <c r="L3" s="463"/>
      <c r="M3" s="105"/>
      <c r="N3" s="83"/>
      <c r="O3" s="83"/>
      <c r="P3" s="1100" t="s">
        <v>267</v>
      </c>
      <c r="Q3" s="1101"/>
      <c r="T3" s="83"/>
      <c r="U3" s="83"/>
      <c r="V3" s="83"/>
    </row>
    <row r="4" spans="1:33" ht="21" customHeight="1" x14ac:dyDescent="0.3">
      <c r="A4" s="83"/>
      <c r="B4" s="1234" t="s">
        <v>495</v>
      </c>
      <c r="C4" s="1235"/>
      <c r="D4" s="105"/>
      <c r="E4" s="105"/>
      <c r="F4" s="259" t="s">
        <v>577</v>
      </c>
      <c r="G4" s="260" t="s">
        <v>578</v>
      </c>
      <c r="H4" s="105"/>
      <c r="I4" s="105"/>
      <c r="J4" s="105"/>
      <c r="K4" s="247"/>
      <c r="L4" s="245"/>
      <c r="M4" s="242"/>
      <c r="N4" s="83"/>
      <c r="O4" s="83"/>
      <c r="P4" s="448"/>
      <c r="Q4" s="395" t="s">
        <v>262</v>
      </c>
      <c r="S4" s="128" t="s">
        <v>686</v>
      </c>
      <c r="T4" s="129" t="s">
        <v>359</v>
      </c>
      <c r="U4" s="1181" t="s">
        <v>579</v>
      </c>
      <c r="V4" s="1182"/>
      <c r="W4" s="1182"/>
      <c r="X4" s="1182"/>
      <c r="Y4" s="1183"/>
    </row>
    <row r="5" spans="1:33" ht="21" customHeight="1" x14ac:dyDescent="0.3">
      <c r="A5" s="83"/>
      <c r="B5" s="1236"/>
      <c r="C5" s="1237"/>
      <c r="D5" s="105"/>
      <c r="E5" s="258" t="s">
        <v>457</v>
      </c>
      <c r="F5" s="257"/>
      <c r="G5" s="257"/>
      <c r="H5" s="105"/>
      <c r="I5" s="105"/>
      <c r="J5" s="105"/>
      <c r="K5" s="242"/>
      <c r="L5" s="245"/>
      <c r="M5" s="242"/>
      <c r="N5" s="83"/>
      <c r="O5" s="83"/>
      <c r="P5" s="521"/>
      <c r="Q5" s="395" t="s">
        <v>263</v>
      </c>
      <c r="S5" s="866">
        <v>10</v>
      </c>
      <c r="T5" s="917" t="s">
        <v>984</v>
      </c>
      <c r="U5" s="1225" t="s">
        <v>985</v>
      </c>
      <c r="V5" s="1242"/>
      <c r="W5" s="1242"/>
      <c r="X5" s="1242"/>
      <c r="Y5" s="1243"/>
    </row>
    <row r="6" spans="1:33" ht="21" customHeight="1" x14ac:dyDescent="0.3">
      <c r="A6" s="83"/>
      <c r="B6" s="1234"/>
      <c r="C6" s="1235"/>
      <c r="D6" s="105"/>
      <c r="E6" s="258" t="s">
        <v>576</v>
      </c>
      <c r="F6" s="257"/>
      <c r="G6" s="257"/>
      <c r="H6" s="105"/>
      <c r="I6" s="105"/>
      <c r="J6" s="105"/>
      <c r="K6" s="456"/>
      <c r="L6" s="245"/>
      <c r="M6" s="242"/>
      <c r="N6" s="83"/>
      <c r="O6" s="83"/>
      <c r="P6" s="522"/>
      <c r="Q6" s="473" t="s">
        <v>264</v>
      </c>
      <c r="S6" s="904">
        <v>11</v>
      </c>
      <c r="T6" s="918" t="s">
        <v>1033</v>
      </c>
      <c r="U6" s="1225" t="s">
        <v>1034</v>
      </c>
      <c r="V6" s="1242"/>
      <c r="W6" s="1242"/>
      <c r="X6" s="1242"/>
      <c r="Y6" s="1243"/>
    </row>
    <row r="7" spans="1:33" s="83" customFormat="1" ht="21" customHeight="1" x14ac:dyDescent="0.3">
      <c r="B7" s="1238"/>
      <c r="C7" s="1239"/>
      <c r="D7" s="105"/>
      <c r="E7" s="258" t="s">
        <v>458</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38"/>
      <c r="C8" s="1239"/>
      <c r="D8" s="105"/>
      <c r="E8" s="1234" t="s">
        <v>727</v>
      </c>
      <c r="F8" s="1240"/>
      <c r="G8" s="1235"/>
      <c r="H8" s="105"/>
      <c r="I8" s="105"/>
      <c r="J8" s="105"/>
      <c r="K8" s="242"/>
      <c r="L8" s="245"/>
      <c r="M8" s="242"/>
      <c r="S8" s="628"/>
      <c r="T8" s="629"/>
      <c r="U8" s="1193"/>
      <c r="V8" s="1194"/>
      <c r="W8" s="1194"/>
      <c r="X8" s="1194"/>
      <c r="Y8" s="1195"/>
    </row>
    <row r="9" spans="1:33" ht="21" customHeight="1" x14ac:dyDescent="0.3">
      <c r="A9" s="83"/>
      <c r="B9" s="1236"/>
      <c r="C9" s="1237"/>
      <c r="D9" s="460"/>
      <c r="E9" s="1236"/>
      <c r="F9" s="1241"/>
      <c r="G9" s="1237"/>
      <c r="H9" s="105"/>
      <c r="I9" s="105"/>
      <c r="J9" s="242"/>
      <c r="K9" s="242"/>
      <c r="L9" s="242"/>
      <c r="M9" s="242"/>
      <c r="N9" s="83"/>
      <c r="O9" s="83"/>
      <c r="P9" s="277" t="s">
        <v>679</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1062</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31" t="s">
        <v>448</v>
      </c>
      <c r="C14" s="1232"/>
      <c r="D14" s="1232"/>
      <c r="E14" s="1232"/>
      <c r="F14" s="1232"/>
      <c r="G14" s="1233"/>
      <c r="H14" s="203"/>
      <c r="I14" s="1231" t="s">
        <v>695</v>
      </c>
      <c r="J14" s="1232"/>
      <c r="K14" s="1232"/>
      <c r="L14" s="1232"/>
      <c r="M14" s="1232"/>
      <c r="N14" s="1233"/>
      <c r="O14" s="83"/>
      <c r="P14" s="1094" t="s">
        <v>450</v>
      </c>
      <c r="Q14" s="1095"/>
      <c r="R14" s="1095"/>
      <c r="S14" s="1095"/>
      <c r="T14" s="1095"/>
      <c r="U14" s="1096"/>
      <c r="V14" s="241"/>
      <c r="W14" s="468" t="str">
        <f>+B19</f>
        <v>Total FOM</v>
      </c>
      <c r="AC14" s="1229" t="s">
        <v>1038</v>
      </c>
      <c r="AD14" s="1069"/>
      <c r="AE14" s="1070"/>
    </row>
    <row r="15" spans="1:33" ht="21" customHeight="1" x14ac:dyDescent="0.3">
      <c r="A15" s="83"/>
      <c r="B15" s="575" t="s">
        <v>673</v>
      </c>
      <c r="C15" s="576" t="s">
        <v>664</v>
      </c>
      <c r="D15" s="575" t="s">
        <v>671</v>
      </c>
      <c r="E15" s="576" t="s">
        <v>575</v>
      </c>
      <c r="F15" s="575" t="s">
        <v>672</v>
      </c>
      <c r="G15" s="658" t="s">
        <v>704</v>
      </c>
      <c r="H15" s="461"/>
      <c r="I15" s="575" t="s">
        <v>673</v>
      </c>
      <c r="J15" s="576" t="s">
        <v>664</v>
      </c>
      <c r="K15" s="575" t="s">
        <v>671</v>
      </c>
      <c r="L15" s="576" t="s">
        <v>575</v>
      </c>
      <c r="M15" s="575" t="s">
        <v>672</v>
      </c>
      <c r="N15" s="577" t="s">
        <v>705</v>
      </c>
      <c r="O15" s="462"/>
      <c r="P15" s="578" t="s">
        <v>673</v>
      </c>
      <c r="Q15" s="579" t="s">
        <v>664</v>
      </c>
      <c r="R15" s="580" t="s">
        <v>671</v>
      </c>
      <c r="S15" s="579" t="s">
        <v>575</v>
      </c>
      <c r="T15" s="580" t="s">
        <v>672</v>
      </c>
      <c r="U15" s="581" t="s">
        <v>705</v>
      </c>
      <c r="V15" s="241"/>
      <c r="W15" s="468" t="str">
        <f>+I16</f>
        <v>NG</v>
      </c>
      <c r="AC15" s="885" t="s">
        <v>883</v>
      </c>
      <c r="AD15" s="222">
        <v>3.843</v>
      </c>
      <c r="AE15" s="887" t="s">
        <v>743</v>
      </c>
    </row>
    <row r="16" spans="1:33" ht="21" customHeight="1" x14ac:dyDescent="0.3">
      <c r="A16" s="83"/>
      <c r="B16" s="889" t="s">
        <v>879</v>
      </c>
      <c r="C16" s="665">
        <v>20</v>
      </c>
      <c r="D16" s="889" t="s">
        <v>1024</v>
      </c>
      <c r="E16" s="665">
        <v>60000</v>
      </c>
      <c r="F16" s="842" t="s">
        <v>1025</v>
      </c>
      <c r="G16" s="168">
        <f>+C16*E16/10^6</f>
        <v>1.2</v>
      </c>
      <c r="H16" s="203"/>
      <c r="I16" s="97" t="str">
        <f>+'Plant Overview'!H72</f>
        <v>NG</v>
      </c>
      <c r="J16" s="392">
        <f>+'Plant Overview'!E58*3600*Q10*'Plant Overview'!I58/10^6</f>
        <v>4070646.3815999995</v>
      </c>
      <c r="K16" s="708" t="s">
        <v>891</v>
      </c>
      <c r="L16" s="665">
        <f>+'Cash Flow Analysis'!G43</f>
        <v>6.5</v>
      </c>
      <c r="M16" s="843" t="s">
        <v>878</v>
      </c>
      <c r="N16" s="519">
        <f>+J16*L16/10^6</f>
        <v>26.459201480399997</v>
      </c>
      <c r="O16" s="83"/>
      <c r="P16" s="511" t="s">
        <v>736</v>
      </c>
      <c r="Q16" s="392">
        <f>+'Plant Overview'!E42*3600*Q10/1000</f>
        <v>13133.596109564582</v>
      </c>
      <c r="R16" s="511" t="s">
        <v>899</v>
      </c>
      <c r="S16" s="665">
        <v>50</v>
      </c>
      <c r="T16" s="842" t="s">
        <v>900</v>
      </c>
      <c r="U16" s="168">
        <f>+Q16*S16/10^6</f>
        <v>0.65667980547822902</v>
      </c>
      <c r="V16" s="241"/>
      <c r="W16" s="468" t="str">
        <f>+I17</f>
        <v>-</v>
      </c>
      <c r="AC16" s="888" t="s">
        <v>894</v>
      </c>
      <c r="AD16" s="168">
        <v>7.665</v>
      </c>
      <c r="AE16" s="890" t="s">
        <v>743</v>
      </c>
    </row>
    <row r="17" spans="1:31" ht="21" customHeight="1" x14ac:dyDescent="0.35">
      <c r="A17" s="83"/>
      <c r="B17" s="889" t="s">
        <v>880</v>
      </c>
      <c r="C17" s="175">
        <f>+'Plant CAPEX'!K13</f>
        <v>93.015693664550781</v>
      </c>
      <c r="D17" s="889" t="s">
        <v>590</v>
      </c>
      <c r="E17" s="846">
        <v>2.5000000000000001E-2</v>
      </c>
      <c r="F17" s="254" t="s">
        <v>1026</v>
      </c>
      <c r="G17" s="168">
        <f>+C17*E17</f>
        <v>2.3253923416137696</v>
      </c>
      <c r="H17" s="248"/>
      <c r="I17" s="438" t="str">
        <f>+'Plant Overview'!H73</f>
        <v>-</v>
      </c>
      <c r="J17" s="266"/>
      <c r="K17" s="130"/>
      <c r="L17" s="665"/>
      <c r="M17" s="438"/>
      <c r="N17" s="518">
        <f>+J17*L17/10^6</f>
        <v>0</v>
      </c>
      <c r="O17" s="83"/>
      <c r="P17" s="511" t="s">
        <v>889</v>
      </c>
      <c r="Q17" s="392">
        <f>+AD22*-1*Q10</f>
        <v>43884.572239079804</v>
      </c>
      <c r="R17" s="511" t="s">
        <v>901</v>
      </c>
      <c r="S17" s="665">
        <f>+'Cash Flow Analysis'!G44</f>
        <v>60</v>
      </c>
      <c r="T17" s="842" t="s">
        <v>902</v>
      </c>
      <c r="U17" s="168">
        <f>+Q17*S17/10^6</f>
        <v>2.6330743343447884</v>
      </c>
      <c r="V17" s="241"/>
      <c r="W17" s="468" t="str">
        <f>+P25</f>
        <v>Total VOM (exl. Fuel &amp; CO2 tax)</v>
      </c>
      <c r="AC17" s="1178" t="s">
        <v>892</v>
      </c>
      <c r="AD17" s="1179"/>
      <c r="AE17" s="1180"/>
    </row>
    <row r="18" spans="1:31" ht="21" customHeight="1" x14ac:dyDescent="0.35">
      <c r="A18" s="83"/>
      <c r="B18" s="889" t="s">
        <v>881</v>
      </c>
      <c r="C18" s="175">
        <f>+'Plant CAPEX'!K13</f>
        <v>93.015693664550781</v>
      </c>
      <c r="D18" s="889" t="s">
        <v>590</v>
      </c>
      <c r="E18" s="845">
        <v>0.01</v>
      </c>
      <c r="F18" s="254" t="s">
        <v>1026</v>
      </c>
      <c r="G18" s="168">
        <f>+C18*E18</f>
        <v>0.9301569366455078</v>
      </c>
      <c r="H18" s="248"/>
      <c r="I18" s="105"/>
      <c r="J18" s="83"/>
      <c r="K18" s="83"/>
      <c r="L18" s="241"/>
      <c r="M18" s="241"/>
      <c r="N18" s="241"/>
      <c r="O18" s="241"/>
      <c r="P18" s="708" t="s">
        <v>882</v>
      </c>
      <c r="Q18" s="392">
        <f>+AD21*3600*Q10/1000</f>
        <v>223593.18387264482</v>
      </c>
      <c r="R18" s="708" t="s">
        <v>899</v>
      </c>
      <c r="S18" s="665">
        <v>10</v>
      </c>
      <c r="T18" s="842" t="s">
        <v>900</v>
      </c>
      <c r="U18" s="168">
        <f>+Q18*S18/10^6</f>
        <v>2.2359318387264482</v>
      </c>
      <c r="V18" s="241"/>
      <c r="AC18" s="888" t="s">
        <v>770</v>
      </c>
      <c r="AD18" s="168">
        <f>+('Unit-400 - WGS'!Q48+'Unit-400 - WGS'!Q49)/AD19</f>
        <v>8.2191666666666663</v>
      </c>
      <c r="AE18" s="890" t="s">
        <v>895</v>
      </c>
    </row>
    <row r="19" spans="1:31" ht="21" customHeight="1" x14ac:dyDescent="0.3">
      <c r="A19" s="83"/>
      <c r="B19" s="1202" t="s">
        <v>449</v>
      </c>
      <c r="C19" s="1203"/>
      <c r="D19" s="1203"/>
      <c r="E19" s="1203"/>
      <c r="F19" s="1204"/>
      <c r="G19" s="518">
        <f>SUM(Tabla60[cost/year])</f>
        <v>4.4555492782592774</v>
      </c>
      <c r="H19" s="203"/>
      <c r="I19" s="105"/>
      <c r="J19" s="83"/>
      <c r="K19" s="83"/>
      <c r="L19" s="241"/>
      <c r="M19" s="241"/>
      <c r="N19" s="241"/>
      <c r="O19" s="241"/>
      <c r="P19" s="708" t="s">
        <v>883</v>
      </c>
      <c r="Q19" s="392">
        <f>+AD15*3600*Q10/1000</f>
        <v>121275.85679999999</v>
      </c>
      <c r="R19" s="708" t="s">
        <v>899</v>
      </c>
      <c r="S19" s="665">
        <v>6</v>
      </c>
      <c r="T19" s="842" t="s">
        <v>900</v>
      </c>
      <c r="U19" s="168">
        <f>+Q19*S19/10^6</f>
        <v>0.72765514079999993</v>
      </c>
      <c r="V19" s="241"/>
      <c r="AC19" s="888" t="s">
        <v>893</v>
      </c>
      <c r="AD19" s="889">
        <v>3</v>
      </c>
      <c r="AE19" s="890" t="s">
        <v>898</v>
      </c>
    </row>
    <row r="20" spans="1:31" ht="21" customHeight="1" x14ac:dyDescent="0.3">
      <c r="A20" s="83"/>
      <c r="B20" s="236"/>
      <c r="C20" s="236"/>
      <c r="D20" s="236"/>
      <c r="E20" s="236"/>
      <c r="F20" s="236"/>
      <c r="G20" s="163"/>
      <c r="H20" s="203"/>
      <c r="I20" s="105"/>
      <c r="J20" s="83"/>
      <c r="K20" s="83"/>
      <c r="L20" s="241"/>
      <c r="M20" s="241"/>
      <c r="N20" s="241"/>
      <c r="O20" s="241"/>
      <c r="P20" s="708" t="s">
        <v>884</v>
      </c>
      <c r="Q20" s="392">
        <f>+AD16*3600*Q10/1000</f>
        <v>241889.00399999999</v>
      </c>
      <c r="R20" s="708" t="s">
        <v>899</v>
      </c>
      <c r="S20" s="665">
        <v>0.35</v>
      </c>
      <c r="T20" s="842" t="s">
        <v>900</v>
      </c>
      <c r="U20" s="168">
        <f>+Q20*S20/10^6</f>
        <v>8.4661151399999982E-2</v>
      </c>
      <c r="V20" s="241"/>
      <c r="AC20" s="888" t="s">
        <v>885</v>
      </c>
      <c r="AD20" s="168">
        <f>+'Unit-200 - GSR'!Q49/AD19</f>
        <v>9.0865900617434257</v>
      </c>
      <c r="AE20" s="890" t="s">
        <v>899</v>
      </c>
    </row>
    <row r="21" spans="1:31" ht="21" customHeight="1" x14ac:dyDescent="0.3">
      <c r="A21" s="83"/>
      <c r="H21" s="247"/>
      <c r="I21" s="105"/>
      <c r="J21" s="83"/>
      <c r="K21" s="83"/>
      <c r="L21" s="241"/>
      <c r="M21" s="241"/>
      <c r="N21" s="241"/>
      <c r="O21" s="241"/>
      <c r="P21" s="708" t="s">
        <v>885</v>
      </c>
      <c r="Q21" s="392">
        <f>+AD20</f>
        <v>9.0865900617434257</v>
      </c>
      <c r="R21" s="708" t="s">
        <v>899</v>
      </c>
      <c r="S21" s="665">
        <f>+'Unit-200 - GSR'!O49*10^6</f>
        <v>15000</v>
      </c>
      <c r="T21" s="842" t="s">
        <v>904</v>
      </c>
      <c r="U21" s="168">
        <f>+Q21*S21/10^6/Q9</f>
        <v>0.11358237577179282</v>
      </c>
      <c r="V21" s="241"/>
      <c r="AC21" s="888" t="s">
        <v>897</v>
      </c>
      <c r="AD21" s="168">
        <v>7.0852404451746898</v>
      </c>
      <c r="AE21" s="890" t="s">
        <v>743</v>
      </c>
    </row>
    <row r="22" spans="1:31" ht="21" customHeight="1" x14ac:dyDescent="0.3">
      <c r="P22" s="708" t="s">
        <v>886</v>
      </c>
      <c r="Q22" s="392">
        <f>+AD18</f>
        <v>8.2191666666666663</v>
      </c>
      <c r="R22" s="708" t="s">
        <v>895</v>
      </c>
      <c r="S22" s="665">
        <f>+'Unit-400 - WGS'!X37</f>
        <v>16100</v>
      </c>
      <c r="T22" s="842" t="s">
        <v>905</v>
      </c>
      <c r="U22" s="168">
        <f>+Q22*S22/10^6/Q9</f>
        <v>0.11027381944444442</v>
      </c>
      <c r="AC22" s="888" t="s">
        <v>760</v>
      </c>
      <c r="AD22" s="168">
        <f>+'Plant Overview'!E23</f>
        <v>-5.0062254436550084</v>
      </c>
      <c r="AE22" s="890" t="s">
        <v>733</v>
      </c>
    </row>
    <row r="23" spans="1:31" ht="21" customHeight="1" x14ac:dyDescent="0.3">
      <c r="P23" s="708" t="s">
        <v>887</v>
      </c>
      <c r="Q23" s="392">
        <f>+AD28</f>
        <v>347.20245369863045</v>
      </c>
      <c r="R23" s="708" t="s">
        <v>896</v>
      </c>
      <c r="S23" s="665">
        <v>1.1000000000000001</v>
      </c>
      <c r="T23" s="708" t="s">
        <v>912</v>
      </c>
      <c r="U23" s="168">
        <f>+Q23*S23/10^6/Q9</f>
        <v>3.1826891589041128E-4</v>
      </c>
      <c r="AC23" s="888" t="s">
        <v>903</v>
      </c>
      <c r="AD23" s="171">
        <v>0.81615310544538899</v>
      </c>
      <c r="AE23" s="890" t="s">
        <v>743</v>
      </c>
    </row>
    <row r="24" spans="1:31" ht="21" customHeight="1" x14ac:dyDescent="0.3">
      <c r="P24" s="708" t="s">
        <v>888</v>
      </c>
      <c r="Q24" s="392">
        <f>+-1*AD23*3600*Q10/1000</f>
        <v>-25755.833240403412</v>
      </c>
      <c r="R24" s="708" t="s">
        <v>899</v>
      </c>
      <c r="S24" s="665">
        <v>2.1</v>
      </c>
      <c r="T24" s="708" t="s">
        <v>890</v>
      </c>
      <c r="U24" s="168">
        <f>+Q24*S24/10^6/Q9</f>
        <v>-4.5072708170705973E-2</v>
      </c>
      <c r="AC24" s="888" t="s">
        <v>907</v>
      </c>
      <c r="AD24" s="889">
        <v>34.9</v>
      </c>
      <c r="AE24" s="890" t="s">
        <v>906</v>
      </c>
    </row>
    <row r="25" spans="1:31" ht="21" customHeight="1" x14ac:dyDescent="0.3">
      <c r="P25" s="1202" t="s">
        <v>570</v>
      </c>
      <c r="Q25" s="1203"/>
      <c r="R25" s="1203"/>
      <c r="S25" s="1203"/>
      <c r="T25" s="1204"/>
      <c r="U25" s="520">
        <f>SUM(Tabla58[cost/year])</f>
        <v>6.5171040267108857</v>
      </c>
      <c r="AC25" s="888" t="s">
        <v>909</v>
      </c>
      <c r="AD25" s="392">
        <f>60310.6336862924/3600</f>
        <v>16.752953801747889</v>
      </c>
      <c r="AE25" s="890" t="s">
        <v>908</v>
      </c>
    </row>
    <row r="26" spans="1:31" ht="21" customHeight="1" x14ac:dyDescent="0.3">
      <c r="P26" s="1202" t="s">
        <v>493</v>
      </c>
      <c r="Q26" s="1203"/>
      <c r="R26" s="1203"/>
      <c r="S26" s="1203"/>
      <c r="T26" s="1203"/>
      <c r="U26" s="518">
        <v>0</v>
      </c>
      <c r="AC26" s="888" t="s">
        <v>893</v>
      </c>
      <c r="AD26" s="392">
        <v>3</v>
      </c>
      <c r="AE26" s="890" t="s">
        <v>451</v>
      </c>
    </row>
    <row r="27" spans="1:31" ht="21" customHeight="1" x14ac:dyDescent="0.3">
      <c r="P27" s="241"/>
      <c r="Q27" s="241"/>
      <c r="R27" s="241"/>
      <c r="S27" s="241"/>
      <c r="T27" s="241"/>
      <c r="U27" s="241"/>
      <c r="AC27" s="888" t="s">
        <v>910</v>
      </c>
      <c r="AD27" s="889">
        <v>0.5</v>
      </c>
      <c r="AE27" s="890" t="s">
        <v>911</v>
      </c>
    </row>
    <row r="28" spans="1:31" ht="21" customHeight="1" x14ac:dyDescent="0.3">
      <c r="P28" s="241"/>
      <c r="Q28" s="241"/>
      <c r="R28" s="241"/>
      <c r="S28" s="242"/>
      <c r="T28" s="241"/>
      <c r="U28" s="241"/>
      <c r="AC28" s="891" t="s">
        <v>1037</v>
      </c>
      <c r="AD28" s="451">
        <f>+AD24/AD25/AD26*AD27*1000</f>
        <v>347.20245369863045</v>
      </c>
      <c r="AE28" s="893" t="s">
        <v>896</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4:AE14"/>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topLeftCell="A25" zoomScale="70" zoomScaleNormal="70" workbookViewId="0">
      <selection activeCell="B41" sqref="B41:K4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54" t="s">
        <v>583</v>
      </c>
      <c r="C1" s="1255"/>
      <c r="D1" s="1255"/>
      <c r="E1" s="1256"/>
      <c r="G1" s="1252" t="s">
        <v>494</v>
      </c>
      <c r="H1" s="1253"/>
      <c r="I1" s="1252" t="s">
        <v>583</v>
      </c>
      <c r="J1" s="1253"/>
    </row>
    <row r="2" spans="1:70" ht="20.399999999999999" customHeight="1" x14ac:dyDescent="0.3">
      <c r="G2" s="667"/>
      <c r="H2" s="668"/>
      <c r="I2" s="671"/>
      <c r="J2" s="672"/>
      <c r="S2" s="246"/>
      <c r="T2" s="246"/>
      <c r="V2" s="246"/>
      <c r="BR2" t="s">
        <v>711</v>
      </c>
    </row>
    <row r="3" spans="1:70" ht="20.399999999999999" customHeight="1" x14ac:dyDescent="0.3">
      <c r="A3" s="83"/>
      <c r="B3" s="1097" t="s">
        <v>715</v>
      </c>
      <c r="C3" s="1098"/>
      <c r="D3" s="1098"/>
      <c r="E3" s="1257"/>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662</v>
      </c>
    </row>
    <row r="4" spans="1:70" ht="20.399999999999999" customHeight="1" x14ac:dyDescent="0.3">
      <c r="A4" s="83"/>
      <c r="B4" s="1258" t="s">
        <v>571</v>
      </c>
      <c r="C4" s="1258"/>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710</v>
      </c>
    </row>
    <row r="5" spans="1:70" ht="20.399999999999999" customHeight="1" x14ac:dyDescent="0.3">
      <c r="A5" s="83"/>
      <c r="B5" s="1258" t="s">
        <v>665</v>
      </c>
      <c r="C5" s="1258"/>
      <c r="D5" s="682">
        <f>+'Plant Overview'!I32</f>
        <v>0.95421999806197799</v>
      </c>
      <c r="E5" s="535" t="str">
        <f>+'Plant Overview'!J32</f>
        <v>kg/s</v>
      </c>
      <c r="F5" s="83"/>
      <c r="G5" s="1265" t="s">
        <v>719</v>
      </c>
      <c r="H5" s="1265"/>
      <c r="I5" s="1101" t="s">
        <v>662</v>
      </c>
      <c r="J5" s="1102"/>
      <c r="K5" s="83"/>
      <c r="S5" s="177"/>
      <c r="T5" s="177"/>
      <c r="U5" s="177"/>
      <c r="V5" s="177"/>
      <c r="W5" s="83"/>
      <c r="X5" s="83"/>
      <c r="Y5" s="83"/>
      <c r="Z5" s="83"/>
      <c r="AA5" s="83"/>
      <c r="AB5" s="83"/>
      <c r="AC5" s="83"/>
      <c r="AD5" s="83"/>
      <c r="AE5" s="83"/>
      <c r="AF5" s="83"/>
      <c r="AG5" s="83"/>
      <c r="AH5" s="83"/>
      <c r="AI5" s="83"/>
      <c r="AJ5" s="83"/>
      <c r="AK5" s="83"/>
      <c r="BR5" t="s">
        <v>709</v>
      </c>
    </row>
    <row r="6" spans="1:70" ht="20.399999999999999" customHeight="1" x14ac:dyDescent="0.3">
      <c r="A6" s="83"/>
      <c r="B6" s="1258" t="s">
        <v>666</v>
      </c>
      <c r="C6" s="1258"/>
      <c r="D6" s="682">
        <f>D5/D4</f>
        <v>0.34398702165175848</v>
      </c>
      <c r="E6" s="86" t="str">
        <f>+E5&amp;" / "&amp;E4</f>
        <v>kg/s / kg/s</v>
      </c>
      <c r="F6" s="83"/>
      <c r="G6" s="1260" t="s">
        <v>662</v>
      </c>
      <c r="H6" s="1261"/>
      <c r="I6" s="681">
        <f>+IF(I5="LCOP",D20,"-")</f>
        <v>1.6767696458905514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58" t="s">
        <v>590</v>
      </c>
      <c r="C7" s="1258"/>
      <c r="D7" s="683">
        <f>+'Plant CAPEX'!K13</f>
        <v>93.015693664550781</v>
      </c>
      <c r="E7" s="684" t="str">
        <f>+J7</f>
        <v>M€</v>
      </c>
      <c r="F7" s="83"/>
      <c r="G7" s="1260" t="s">
        <v>709</v>
      </c>
      <c r="H7" s="1261"/>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2" t="s">
        <v>457</v>
      </c>
      <c r="C8" s="1262"/>
      <c r="D8" s="682">
        <f>+'Plant OPEX'!G19</f>
        <v>4.4555492782592774</v>
      </c>
      <c r="E8" s="684" t="str">
        <f>+"M"&amp;'Plant Overview'!$E$9&amp;"/y"</f>
        <v>M€/y</v>
      </c>
      <c r="F8" s="83"/>
      <c r="G8" s="1260" t="s">
        <v>710</v>
      </c>
      <c r="H8" s="1261"/>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58" t="str">
        <f>+'Plant OPEX'!I16</f>
        <v>NG</v>
      </c>
      <c r="C9" s="1258"/>
      <c r="D9" s="682">
        <f>+'Plant OPEX'!N16</f>
        <v>26.459201480399997</v>
      </c>
      <c r="E9" s="684" t="str">
        <f>+"M"&amp;'Plant Overview'!$E$9&amp;"/y"</f>
        <v>M€/y</v>
      </c>
      <c r="F9" s="83"/>
      <c r="G9" s="1268" t="s">
        <v>716</v>
      </c>
      <c r="H9" s="1269"/>
      <c r="I9" s="380" cm="1">
        <f t="array" ref="I9">+MATCH(TRUE,G38:AT38&gt;0,0)</f>
        <v>9</v>
      </c>
      <c r="J9" s="86" t="s">
        <v>451</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58" t="str">
        <f>+'Plant OPEX'!I17</f>
        <v>-</v>
      </c>
      <c r="C10" s="1258"/>
      <c r="D10" s="682">
        <f>+'Plant OPEX'!N17</f>
        <v>0</v>
      </c>
      <c r="E10" s="684" t="str">
        <f>+"M"&amp;'Plant Overview'!$E$9&amp;"/y"</f>
        <v>M€/y</v>
      </c>
      <c r="F10" s="83"/>
      <c r="G10" s="1268" t="s">
        <v>717</v>
      </c>
      <c r="H10" s="1269"/>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58" t="s">
        <v>458</v>
      </c>
      <c r="C11" s="1258"/>
      <c r="D11" s="682">
        <f>+'Plant OPEX'!U25</f>
        <v>6.5171040267108857</v>
      </c>
      <c r="E11" s="684" t="str">
        <f>+"M"&amp;'Plant Overview'!$E$9&amp;"/y"</f>
        <v>M€/y</v>
      </c>
      <c r="F11" s="83"/>
      <c r="G11" s="1263" t="s">
        <v>675</v>
      </c>
      <c r="H11" s="1264"/>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47" t="s">
        <v>635</v>
      </c>
      <c r="C13" s="1248"/>
      <c r="D13" s="1248"/>
      <c r="E13" s="1249"/>
      <c r="F13" s="83"/>
      <c r="G13" s="1247" t="s">
        <v>718</v>
      </c>
      <c r="H13" s="1248"/>
      <c r="I13" s="1248"/>
      <c r="J13" s="1249"/>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459</v>
      </c>
      <c r="C14" s="1259"/>
      <c r="D14" s="590">
        <v>0.65</v>
      </c>
      <c r="E14" s="86" t="s">
        <v>354</v>
      </c>
      <c r="F14" s="83"/>
      <c r="G14" s="678"/>
      <c r="H14" s="589" t="str">
        <f>+'Plant Overview'!E6</f>
        <v xml:space="preserve">GSR-H₂ </v>
      </c>
      <c r="I14" s="980" t="s">
        <v>358</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460</v>
      </c>
      <c r="C15" s="1259"/>
      <c r="D15" s="590">
        <v>0.9</v>
      </c>
      <c r="E15" s="86" t="s">
        <v>354</v>
      </c>
      <c r="F15" s="83"/>
      <c r="G15" s="685" t="s">
        <v>678</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71" t="s">
        <v>634</v>
      </c>
      <c r="C16" s="1271"/>
      <c r="D16" s="591">
        <v>30</v>
      </c>
      <c r="E16" s="86" t="s">
        <v>451</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71" t="s">
        <v>438</v>
      </c>
      <c r="C17" s="1271"/>
      <c r="D17" s="592">
        <v>3</v>
      </c>
      <c r="E17" s="86" t="s">
        <v>451</v>
      </c>
      <c r="F17" s="83"/>
      <c r="G17" s="206" t="str">
        <f>+B29</f>
        <v>Capital</v>
      </c>
      <c r="H17" s="480">
        <f>+IF(I5="LCOP",SUMPRODUCT(C29:AT29,C36:AT36)/SUMPRODUCT(C27:AT27,C36:AT36)*I6,"-")</f>
        <v>0.41275354974375744</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0.16892684333938834</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47" t="s">
        <v>714</v>
      </c>
      <c r="C19" s="1248"/>
      <c r="D19" s="1248"/>
      <c r="E19" s="1249"/>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70" t="s">
        <v>712</v>
      </c>
      <c r="C20" s="1270"/>
      <c r="D20" s="826">
        <v>1.6767696458905514</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439</v>
      </c>
      <c r="C21" s="1259"/>
      <c r="D21" s="593">
        <v>0.1</v>
      </c>
      <c r="E21" s="666" t="s">
        <v>456</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66" t="s">
        <v>713</v>
      </c>
      <c r="C22" s="1267"/>
      <c r="D22" s="86">
        <f>HLOOKUP(D16,C24:AT39,16)</f>
        <v>-9.8809849191638932E-14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442</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441</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663</v>
      </c>
      <c r="C27" s="563"/>
      <c r="D27" s="563"/>
      <c r="E27" s="563"/>
      <c r="F27" s="563"/>
      <c r="G27" s="659">
        <f>365.25*24*G25*$D$20*3600*'Plant Overview'!$I$32/10^6</f>
        <v>32.820050217842805</v>
      </c>
      <c r="H27" s="660">
        <f>365.25*24*H25*$D$20*3600*'Plant Overview'!$I$32/10^6</f>
        <v>45.443146455474647</v>
      </c>
      <c r="I27" s="660">
        <f>365.25*24*I25*$D$20*3600*'Plant Overview'!$I$32/10^6</f>
        <v>45.443146455474647</v>
      </c>
      <c r="J27" s="660">
        <f>365.25*24*J25*$D$20*3600*'Plant Overview'!$I$32/10^6</f>
        <v>45.443146455474647</v>
      </c>
      <c r="K27" s="660">
        <f>365.25*24*K25*$D$20*3600*'Plant Overview'!$I$32/10^6</f>
        <v>45.443146455474647</v>
      </c>
      <c r="L27" s="660">
        <f>365.25*24*L25*$D$20*3600*'Plant Overview'!$I$32/10^6</f>
        <v>45.443146455474647</v>
      </c>
      <c r="M27" s="660">
        <f>365.25*24*M25*$D$20*3600*'Plant Overview'!$I$32/10^6</f>
        <v>45.443146455474647</v>
      </c>
      <c r="N27" s="660">
        <f>365.25*24*N25*$D$20*3600*'Plant Overview'!$I$32/10^6</f>
        <v>45.443146455474647</v>
      </c>
      <c r="O27" s="660">
        <f>365.25*24*O25*$D$20*3600*'Plant Overview'!$I$32/10^6</f>
        <v>45.443146455474647</v>
      </c>
      <c r="P27" s="660">
        <f>365.25*24*P25*$D$20*3600*'Plant Overview'!$I$32/10^6</f>
        <v>45.443146455474647</v>
      </c>
      <c r="Q27" s="660">
        <f>365.25*24*Q25*$D$20*3600*'Plant Overview'!$I$32/10^6</f>
        <v>45.443146455474647</v>
      </c>
      <c r="R27" s="660">
        <f>365.25*24*R25*$D$20*3600*'Plant Overview'!$I$32/10^6</f>
        <v>45.443146455474647</v>
      </c>
      <c r="S27" s="660">
        <f>365.25*24*S25*$D$20*3600*'Plant Overview'!$I$32/10^6</f>
        <v>45.443146455474647</v>
      </c>
      <c r="T27" s="660">
        <f>365.25*24*T25*$D$20*3600*'Plant Overview'!$I$32/10^6</f>
        <v>45.443146455474647</v>
      </c>
      <c r="U27" s="660">
        <f>365.25*24*U25*$D$20*3600*'Plant Overview'!$I$32/10^6</f>
        <v>45.443146455474647</v>
      </c>
      <c r="V27" s="660">
        <f>365.25*24*V25*$D$20*3600*'Plant Overview'!$I$32/10^6</f>
        <v>45.443146455474647</v>
      </c>
      <c r="W27" s="660">
        <f>365.25*24*W25*$D$20*3600*'Plant Overview'!$I$32/10^6</f>
        <v>45.443146455474647</v>
      </c>
      <c r="X27" s="660">
        <f>365.25*24*X25*$D$20*3600*'Plant Overview'!$I$32/10^6</f>
        <v>45.443146455474647</v>
      </c>
      <c r="Y27" s="660">
        <f>365.25*24*Y25*$D$20*3600*'Plant Overview'!$I$32/10^6</f>
        <v>45.443146455474647</v>
      </c>
      <c r="Z27" s="660">
        <f>365.25*24*Z25*$D$20*3600*'Plant Overview'!$I$32/10^6</f>
        <v>45.443146455474647</v>
      </c>
      <c r="AA27" s="660">
        <f>365.25*24*AA25*$D$20*3600*'Plant Overview'!$I$32/10^6</f>
        <v>45.443146455474647</v>
      </c>
      <c r="AB27" s="660">
        <f>365.25*24*AB25*$D$20*3600*'Plant Overview'!$I$32/10^6</f>
        <v>45.443146455474647</v>
      </c>
      <c r="AC27" s="660">
        <f>365.25*24*AC25*$D$20*3600*'Plant Overview'!$I$32/10^6</f>
        <v>45.443146455474647</v>
      </c>
      <c r="AD27" s="660">
        <f>365.25*24*AD25*$D$20*3600*'Plant Overview'!$I$32/10^6</f>
        <v>45.443146455474647</v>
      </c>
      <c r="AE27" s="660">
        <f>365.25*24*AE25*$D$20*3600*'Plant Overview'!$I$32/10^6</f>
        <v>45.443146455474647</v>
      </c>
      <c r="AF27" s="660">
        <f>365.25*24*AF25*$D$20*3600*'Plant Overview'!$I$32/10^6</f>
        <v>45.443146455474647</v>
      </c>
      <c r="AG27" s="660">
        <f>365.25*24*AG25*$D$20*3600*'Plant Overview'!$I$32/10^6</f>
        <v>45.443146455474647</v>
      </c>
      <c r="AH27" s="660">
        <f>365.25*24*AH25*$D$20*3600*'Plant Overview'!$I$32/10^6</f>
        <v>45.443146455474647</v>
      </c>
      <c r="AI27" s="660">
        <f>365.25*24*AI25*$D$20*3600*'Plant Overview'!$I$32/10^6</f>
        <v>45.443146455474647</v>
      </c>
      <c r="AJ27" s="660">
        <f>365.25*24*AJ25*$D$20*3600*'Plant Overview'!$I$32/10^6</f>
        <v>45.443146455474647</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443</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437</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457</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493</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440</v>
      </c>
      <c r="C35" s="563">
        <f t="shared" ref="C35:AT35" si="5">C27-SUM(C29:C34)</f>
        <v>0</v>
      </c>
      <c r="D35" s="660">
        <f t="shared" si="5"/>
        <v>-31.005231221516926</v>
      </c>
      <c r="E35" s="660">
        <f t="shared" si="5"/>
        <v>-31.005231221516926</v>
      </c>
      <c r="F35" s="660">
        <f t="shared" si="5"/>
        <v>-31.005231221516926</v>
      </c>
      <c r="G35" s="659">
        <f>G27-SUM(G29:G34)</f>
        <v>6.9299023599614529</v>
      </c>
      <c r="H35" s="660">
        <f t="shared" si="5"/>
        <v>11.308922220815575</v>
      </c>
      <c r="I35" s="660">
        <f t="shared" si="5"/>
        <v>11.308922220815575</v>
      </c>
      <c r="J35" s="660">
        <f t="shared" si="5"/>
        <v>11.308922220815575</v>
      </c>
      <c r="K35" s="660">
        <f t="shared" si="5"/>
        <v>11.308922220815575</v>
      </c>
      <c r="L35" s="660">
        <f t="shared" si="5"/>
        <v>11.308922220815575</v>
      </c>
      <c r="M35" s="660">
        <f t="shared" si="5"/>
        <v>11.308922220815575</v>
      </c>
      <c r="N35" s="660">
        <f t="shared" si="5"/>
        <v>11.308922220815575</v>
      </c>
      <c r="O35" s="660">
        <f t="shared" si="5"/>
        <v>11.308922220815575</v>
      </c>
      <c r="P35" s="660">
        <f t="shared" si="5"/>
        <v>11.308922220815575</v>
      </c>
      <c r="Q35" s="660">
        <f t="shared" si="5"/>
        <v>11.308922220815575</v>
      </c>
      <c r="R35" s="660">
        <f t="shared" si="5"/>
        <v>11.308922220815575</v>
      </c>
      <c r="S35" s="660">
        <f t="shared" si="5"/>
        <v>11.308922220815575</v>
      </c>
      <c r="T35" s="660">
        <f t="shared" si="5"/>
        <v>11.308922220815575</v>
      </c>
      <c r="U35" s="660">
        <f t="shared" si="5"/>
        <v>11.308922220815575</v>
      </c>
      <c r="V35" s="660">
        <f t="shared" si="5"/>
        <v>11.308922220815575</v>
      </c>
      <c r="W35" s="660">
        <f t="shared" si="5"/>
        <v>11.308922220815575</v>
      </c>
      <c r="X35" s="660">
        <f t="shared" si="5"/>
        <v>11.308922220815575</v>
      </c>
      <c r="Y35" s="660">
        <f t="shared" si="5"/>
        <v>11.308922220815575</v>
      </c>
      <c r="Z35" s="660">
        <f t="shared" si="5"/>
        <v>11.308922220815575</v>
      </c>
      <c r="AA35" s="660">
        <f t="shared" si="5"/>
        <v>11.308922220815575</v>
      </c>
      <c r="AB35" s="660">
        <f t="shared" si="5"/>
        <v>11.308922220815575</v>
      </c>
      <c r="AC35" s="660">
        <f t="shared" si="5"/>
        <v>11.308922220815575</v>
      </c>
      <c r="AD35" s="660">
        <f t="shared" si="5"/>
        <v>11.308922220815575</v>
      </c>
      <c r="AE35" s="660">
        <f t="shared" si="5"/>
        <v>11.308922220815575</v>
      </c>
      <c r="AF35" s="660">
        <f t="shared" si="5"/>
        <v>11.308922220815575</v>
      </c>
      <c r="AG35" s="660">
        <f t="shared" si="5"/>
        <v>11.308922220815575</v>
      </c>
      <c r="AH35" s="660">
        <f t="shared" si="5"/>
        <v>11.308922220815575</v>
      </c>
      <c r="AI35" s="660">
        <f t="shared" si="5"/>
        <v>11.308922220815575</v>
      </c>
      <c r="AJ35" s="660">
        <f t="shared" si="5"/>
        <v>11.308922220815575</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444</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445</v>
      </c>
      <c r="C37" s="559">
        <f>C35*C36</f>
        <v>0</v>
      </c>
      <c r="D37" s="614">
        <f>D35*D36</f>
        <v>-28.18657383774266</v>
      </c>
      <c r="E37" s="614">
        <f>E35*E36</f>
        <v>-25.624158034311506</v>
      </c>
      <c r="F37" s="614">
        <f>F35*F36</f>
        <v>-23.294689122101367</v>
      </c>
      <c r="G37" s="615">
        <f t="shared" ref="G37:AT37" si="7">G35*G36</f>
        <v>4.733216556219829</v>
      </c>
      <c r="H37" s="614">
        <f t="shared" si="7"/>
        <v>7.0219509477218836</v>
      </c>
      <c r="I37" s="614">
        <f t="shared" si="7"/>
        <v>6.3835917706562562</v>
      </c>
      <c r="J37" s="614">
        <f t="shared" si="7"/>
        <v>5.8032652460511418</v>
      </c>
      <c r="K37" s="614">
        <f t="shared" si="7"/>
        <v>5.2756956782283106</v>
      </c>
      <c r="L37" s="614">
        <f t="shared" si="7"/>
        <v>4.796086980207555</v>
      </c>
      <c r="M37" s="614">
        <f t="shared" si="7"/>
        <v>4.3600790729159584</v>
      </c>
      <c r="N37" s="614">
        <f t="shared" si="7"/>
        <v>3.9637082481054162</v>
      </c>
      <c r="O37" s="614">
        <f t="shared" si="7"/>
        <v>3.6033711346412867</v>
      </c>
      <c r="P37" s="614">
        <f t="shared" si="7"/>
        <v>3.2757919405829878</v>
      </c>
      <c r="Q37" s="614">
        <f t="shared" si="7"/>
        <v>2.9779926732572615</v>
      </c>
      <c r="R37" s="614">
        <f t="shared" si="7"/>
        <v>2.7072660665975103</v>
      </c>
      <c r="S37" s="614">
        <f t="shared" si="7"/>
        <v>2.4611509696341001</v>
      </c>
      <c r="T37" s="614">
        <f t="shared" si="7"/>
        <v>2.2374099723946363</v>
      </c>
      <c r="U37" s="614">
        <f t="shared" si="7"/>
        <v>2.0340090658133057</v>
      </c>
      <c r="V37" s="614">
        <f t="shared" si="7"/>
        <v>1.8490991507393686</v>
      </c>
      <c r="W37" s="614">
        <f t="shared" si="7"/>
        <v>1.6809992279448804</v>
      </c>
      <c r="X37" s="614">
        <f t="shared" si="7"/>
        <v>1.5281811163135275</v>
      </c>
      <c r="Y37" s="614">
        <f t="shared" si="7"/>
        <v>1.3892555602850247</v>
      </c>
      <c r="Z37" s="614">
        <f t="shared" si="7"/>
        <v>1.2629596002591132</v>
      </c>
      <c r="AA37" s="614">
        <f t="shared" si="7"/>
        <v>1.1481450911446485</v>
      </c>
      <c r="AB37" s="614">
        <f t="shared" si="7"/>
        <v>1.0437682646769531</v>
      </c>
      <c r="AC37" s="614">
        <f t="shared" si="7"/>
        <v>0.94888024061541187</v>
      </c>
      <c r="AD37" s="614">
        <f t="shared" si="7"/>
        <v>0.86261840055946515</v>
      </c>
      <c r="AE37" s="614">
        <f t="shared" si="7"/>
        <v>0.78419854596315008</v>
      </c>
      <c r="AF37" s="614">
        <f t="shared" si="7"/>
        <v>0.71290776905740916</v>
      </c>
      <c r="AG37" s="614">
        <f t="shared" si="7"/>
        <v>0.64809797187037188</v>
      </c>
      <c r="AH37" s="614">
        <f t="shared" si="7"/>
        <v>0.58917997442761072</v>
      </c>
      <c r="AI37" s="614">
        <f t="shared" si="7"/>
        <v>0.53561815857055517</v>
      </c>
      <c r="AJ37" s="614">
        <f t="shared" si="7"/>
        <v>0.48692559870050467</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446</v>
      </c>
      <c r="C38" s="559">
        <f>+C37</f>
        <v>0</v>
      </c>
      <c r="D38" s="614">
        <f>D35+C38</f>
        <v>-31.005231221516926</v>
      </c>
      <c r="E38" s="614">
        <f>E35+D38</f>
        <v>-62.010462443033852</v>
      </c>
      <c r="F38" s="614">
        <f>F35+E38</f>
        <v>-93.015693664550781</v>
      </c>
      <c r="G38" s="615">
        <f>G35+F38</f>
        <v>-86.085791304589321</v>
      </c>
      <c r="H38" s="614">
        <f t="shared" ref="H38:AT38" si="8">IF(H24&lt;=$D$16,H35+G38,0)</f>
        <v>-74.776869083773747</v>
      </c>
      <c r="I38" s="614">
        <f t="shared" si="8"/>
        <v>-63.467946862958172</v>
      </c>
      <c r="J38" s="614">
        <f t="shared" si="8"/>
        <v>-52.159024642142597</v>
      </c>
      <c r="K38" s="614">
        <f t="shared" si="8"/>
        <v>-40.850102421327023</v>
      </c>
      <c r="L38" s="614">
        <f t="shared" si="8"/>
        <v>-29.541180200511448</v>
      </c>
      <c r="M38" s="614">
        <f t="shared" si="8"/>
        <v>-18.232257979695873</v>
      </c>
      <c r="N38" s="614">
        <f t="shared" si="8"/>
        <v>-6.9233357588802988</v>
      </c>
      <c r="O38" s="614">
        <f t="shared" si="8"/>
        <v>4.3855864619352758</v>
      </c>
      <c r="P38" s="614">
        <f t="shared" si="8"/>
        <v>15.69450868275085</v>
      </c>
      <c r="Q38" s="614">
        <f t="shared" si="8"/>
        <v>27.003430903566425</v>
      </c>
      <c r="R38" s="614">
        <f t="shared" si="8"/>
        <v>38.312353124382</v>
      </c>
      <c r="S38" s="614">
        <f t="shared" si="8"/>
        <v>49.621275345197574</v>
      </c>
      <c r="T38" s="614">
        <f t="shared" si="8"/>
        <v>60.930197566013149</v>
      </c>
      <c r="U38" s="614">
        <f t="shared" si="8"/>
        <v>72.239119786828724</v>
      </c>
      <c r="V38" s="614">
        <f t="shared" si="8"/>
        <v>83.548042007644298</v>
      </c>
      <c r="W38" s="614">
        <f t="shared" si="8"/>
        <v>94.856964228459873</v>
      </c>
      <c r="X38" s="614">
        <f t="shared" si="8"/>
        <v>106.16588644927545</v>
      </c>
      <c r="Y38" s="614">
        <f t="shared" si="8"/>
        <v>117.47480867009102</v>
      </c>
      <c r="Z38" s="614">
        <f t="shared" si="8"/>
        <v>128.78373089090661</v>
      </c>
      <c r="AA38" s="614">
        <f t="shared" si="8"/>
        <v>140.0926531117222</v>
      </c>
      <c r="AB38" s="614">
        <f t="shared" si="8"/>
        <v>151.40157533253779</v>
      </c>
      <c r="AC38" s="614">
        <f t="shared" si="8"/>
        <v>162.71049755335338</v>
      </c>
      <c r="AD38" s="614">
        <f t="shared" si="8"/>
        <v>174.01941977416897</v>
      </c>
      <c r="AE38" s="614">
        <f t="shared" si="8"/>
        <v>185.32834199498456</v>
      </c>
      <c r="AF38" s="614">
        <f t="shared" si="8"/>
        <v>196.63726421580014</v>
      </c>
      <c r="AG38" s="614">
        <f t="shared" si="8"/>
        <v>207.94618643661573</v>
      </c>
      <c r="AH38" s="614">
        <f t="shared" si="8"/>
        <v>219.25510865743132</v>
      </c>
      <c r="AI38" s="614">
        <f t="shared" si="8"/>
        <v>230.56403087824691</v>
      </c>
      <c r="AJ38" s="614">
        <f t="shared" si="8"/>
        <v>241.8729530990625</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447</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-58.966661719557564</v>
      </c>
      <c r="J39" s="660">
        <f t="shared" si="9"/>
        <v>-53.163396473506424</v>
      </c>
      <c r="K39" s="660">
        <f t="shared" si="9"/>
        <v>-47.887700795278114</v>
      </c>
      <c r="L39" s="660">
        <f t="shared" si="9"/>
        <v>-43.091613815070559</v>
      </c>
      <c r="M39" s="660">
        <f t="shared" si="9"/>
        <v>-38.731534742154601</v>
      </c>
      <c r="N39" s="660">
        <f t="shared" si="9"/>
        <v>-34.767826494049181</v>
      </c>
      <c r="O39" s="660">
        <f t="shared" si="9"/>
        <v>-31.164455359407896</v>
      </c>
      <c r="P39" s="660">
        <f t="shared" si="9"/>
        <v>-27.888663418824908</v>
      </c>
      <c r="Q39" s="660">
        <f t="shared" si="9"/>
        <v>-24.910670745567646</v>
      </c>
      <c r="R39" s="660">
        <f t="shared" si="9"/>
        <v>-22.203404678970138</v>
      </c>
      <c r="S39" s="660">
        <f t="shared" si="9"/>
        <v>-19.742253709336037</v>
      </c>
      <c r="T39" s="660">
        <f t="shared" si="9"/>
        <v>-17.5048437369414</v>
      </c>
      <c r="U39" s="660">
        <f t="shared" si="9"/>
        <v>-15.470834671128094</v>
      </c>
      <c r="V39" s="660">
        <f t="shared" si="9"/>
        <v>-13.621735520388725</v>
      </c>
      <c r="W39" s="660">
        <f t="shared" si="9"/>
        <v>-11.940736292443844</v>
      </c>
      <c r="X39" s="660">
        <f t="shared" si="9"/>
        <v>-10.412555176130317</v>
      </c>
      <c r="Y39" s="660">
        <f t="shared" si="9"/>
        <v>-9.0232996158452927</v>
      </c>
      <c r="Z39" s="660">
        <f t="shared" si="9"/>
        <v>-7.7603400155861797</v>
      </c>
      <c r="AA39" s="660">
        <f t="shared" si="9"/>
        <v>-6.612194924441531</v>
      </c>
      <c r="AB39" s="660">
        <f t="shared" si="9"/>
        <v>-5.5684266597645777</v>
      </c>
      <c r="AC39" s="660">
        <f t="shared" si="9"/>
        <v>-4.6195464191491658</v>
      </c>
      <c r="AD39" s="660">
        <f t="shared" si="9"/>
        <v>-3.7569280185897007</v>
      </c>
      <c r="AE39" s="660">
        <f t="shared" si="9"/>
        <v>-2.9727294726265505</v>
      </c>
      <c r="AF39" s="660">
        <f t="shared" si="9"/>
        <v>-2.2598217035691412</v>
      </c>
      <c r="AG39" s="660">
        <f t="shared" si="9"/>
        <v>-1.6117237316987694</v>
      </c>
      <c r="AH39" s="660">
        <f t="shared" si="9"/>
        <v>-1.0225437572711586</v>
      </c>
      <c r="AI39" s="660">
        <f t="shared" si="9"/>
        <v>-0.48692559870060348</v>
      </c>
      <c r="AJ39" s="660">
        <f t="shared" si="9"/>
        <v>-9.8809849191638932E-14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46" t="s">
        <v>1090</v>
      </c>
      <c r="C41" s="1246"/>
      <c r="D41" s="1246"/>
      <c r="E41" s="1246"/>
      <c r="F41" s="1246"/>
      <c r="G41" s="1246"/>
      <c r="H41" s="1246"/>
      <c r="I41" s="1246"/>
      <c r="J41" s="1246"/>
      <c r="K41" s="1246"/>
      <c r="M41" s="1011" t="s">
        <v>577</v>
      </c>
      <c r="N41" s="1021" t="s">
        <v>578</v>
      </c>
      <c r="P41" s="1247" t="str">
        <f>"Sensitivity Results: "&amp;H14</f>
        <v xml:space="preserve">Sensitivity Results: GSR-H₂ </v>
      </c>
      <c r="Q41" s="1248"/>
      <c r="R41" s="1248"/>
      <c r="S41" s="1249"/>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1091</v>
      </c>
      <c r="C42" s="1016" t="s">
        <v>1100</v>
      </c>
      <c r="D42" s="1017" t="s">
        <v>1092</v>
      </c>
      <c r="E42" s="1017" t="s">
        <v>1099</v>
      </c>
      <c r="F42" s="1018" t="s">
        <v>1093</v>
      </c>
      <c r="G42" s="1018" t="s">
        <v>1094</v>
      </c>
      <c r="H42" s="1019" t="s">
        <v>1095</v>
      </c>
      <c r="I42" s="1019" t="s">
        <v>1096</v>
      </c>
      <c r="J42" s="876" t="s">
        <v>1103</v>
      </c>
      <c r="K42" s="1025" t="s">
        <v>1104</v>
      </c>
      <c r="M42" s="93"/>
      <c r="N42" s="84"/>
      <c r="P42" s="1250" t="str">
        <f>+D43</f>
        <v>NG price</v>
      </c>
      <c r="Q42" s="1251"/>
      <c r="R42" s="1250" t="str">
        <f>+D44</f>
        <v>Electricity</v>
      </c>
      <c r="S42" s="1251"/>
      <c r="T42" s="1244"/>
      <c r="U42" s="1245"/>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662</v>
      </c>
      <c r="C43" s="1032" t="s">
        <v>1101</v>
      </c>
      <c r="D43" s="1026" t="s">
        <v>1098</v>
      </c>
      <c r="E43" s="1023" t="s">
        <v>1102</v>
      </c>
      <c r="F43" s="1024">
        <f>+I6</f>
        <v>1.6767696458905514</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662</v>
      </c>
      <c r="C44" s="1032" t="s">
        <v>1101</v>
      </c>
      <c r="D44" s="1026" t="s">
        <v>889</v>
      </c>
      <c r="E44" s="1023" t="s">
        <v>1105</v>
      </c>
      <c r="F44" s="1024">
        <f>+I6</f>
        <v>1.6767696458905514</v>
      </c>
      <c r="G44" s="1026">
        <v>60</v>
      </c>
      <c r="H44" s="1026">
        <v>60</v>
      </c>
      <c r="I44" s="1026">
        <v>20</v>
      </c>
      <c r="J44" s="1026">
        <v>5</v>
      </c>
      <c r="K44" s="1031">
        <v>20</v>
      </c>
      <c r="M44" s="1100" t="s">
        <v>1097</v>
      </c>
      <c r="N44" s="1101"/>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T42:U42"/>
    <mergeCell ref="B41:K41"/>
    <mergeCell ref="P41:S41"/>
    <mergeCell ref="P42:Q42"/>
    <mergeCell ref="R42:S42"/>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7" t="str">
        <f>+'Plant Overview'!E6&amp;": Input to SSM"</f>
        <v>GSR-H₂ : Input to SSM</v>
      </c>
      <c r="C2" s="1098"/>
      <c r="D2" s="1098"/>
      <c r="E2" s="1098"/>
      <c r="F2" s="1098"/>
      <c r="G2" s="1098"/>
      <c r="H2" s="1098"/>
      <c r="I2" s="1098"/>
      <c r="J2" s="1098"/>
      <c r="K2" s="1099"/>
    </row>
    <row r="4" spans="2:14" ht="17.399999999999999" customHeight="1" x14ac:dyDescent="0.3">
      <c r="B4" s="995" t="s">
        <v>461</v>
      </c>
      <c r="C4" s="996" t="s">
        <v>664</v>
      </c>
      <c r="D4" s="997" t="s">
        <v>235</v>
      </c>
      <c r="F4" s="1281" t="str">
        <f>+'Plant Overview'!D5</f>
        <v>Cost Estimate Details</v>
      </c>
      <c r="G4" s="1282"/>
      <c r="I4" s="1283" t="s">
        <v>495</v>
      </c>
      <c r="J4" s="1284"/>
      <c r="K4" s="998"/>
    </row>
    <row r="5" spans="2:14" ht="17.399999999999999" customHeight="1" x14ac:dyDescent="0.3">
      <c r="B5" s="992" t="str">
        <f>+'Plant Overview'!D26</f>
        <v>η H₂</v>
      </c>
      <c r="C5" s="999">
        <f>+'Plant Overview'!E26</f>
        <v>0.88778915614756715</v>
      </c>
      <c r="D5" s="992" t="s">
        <v>1055</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1075</v>
      </c>
      <c r="J6" s="259" t="s">
        <v>577</v>
      </c>
      <c r="K6" s="260" t="s">
        <v>578</v>
      </c>
      <c r="N6" s="1272"/>
    </row>
    <row r="7" spans="2:14" ht="17.399999999999999" customHeight="1" x14ac:dyDescent="0.3">
      <c r="B7" s="992" t="str">
        <f>+'Plant Overview'!D44</f>
        <v>CC</v>
      </c>
      <c r="C7" s="1010">
        <f>+'Plant Overview'!E44</f>
        <v>0.94563882051171866</v>
      </c>
      <c r="D7" s="992" t="s">
        <v>456</v>
      </c>
      <c r="F7" s="445" t="str">
        <f>+'Plant Overview'!D9</f>
        <v xml:space="preserve"> Currency</v>
      </c>
      <c r="G7" s="445" t="str">
        <f>+'Plant Overview'!E9</f>
        <v>€</v>
      </c>
      <c r="I7" s="1286"/>
      <c r="J7" s="86"/>
      <c r="K7" s="86"/>
      <c r="N7" s="1272"/>
    </row>
    <row r="8" spans="2:14" ht="17.399999999999999" customHeight="1" x14ac:dyDescent="0.3">
      <c r="B8" s="992" t="s">
        <v>437</v>
      </c>
      <c r="C8" s="196">
        <f>+'Plant CAPEX'!K13*10^6/('Plant Overview'!I32*'Plant Overview'!I59)</f>
        <v>812.24488194618505</v>
      </c>
      <c r="D8" s="993" t="s">
        <v>1056</v>
      </c>
      <c r="I8" s="1002"/>
    </row>
    <row r="9" spans="2:14" ht="17.399999999999999" customHeight="1" x14ac:dyDescent="0.3">
      <c r="B9" s="992" t="s">
        <v>457</v>
      </c>
      <c r="C9" s="1003">
        <f>+('Plant OPEX'!G19-'Plant OPEX'!G18)*10^6/('Plant Overview'!I32*'Plant Overview'!I59)/'Input to SSM'!C8</f>
        <v>3.7901048766325891E-2</v>
      </c>
      <c r="D9" s="992" t="s">
        <v>1057</v>
      </c>
      <c r="F9" s="1065" t="s">
        <v>579</v>
      </c>
      <c r="G9" s="1066"/>
      <c r="H9" s="1066"/>
      <c r="I9" s="1066"/>
      <c r="J9" s="1066"/>
      <c r="K9" s="1067"/>
    </row>
    <row r="10" spans="2:14" ht="17.399999999999999" customHeight="1" x14ac:dyDescent="0.3">
      <c r="B10" s="992" t="s">
        <v>458</v>
      </c>
      <c r="C10" s="1004">
        <f>+('Plant OPEX'!U25-'Plant OPEX'!U17-'Plant OPEX'!U16)*10^6/('Plant Overview'!I32*'Plant Overview'!I59/1000*'Plant OPEX'!Q10)</f>
        <v>3.2149582624131106</v>
      </c>
      <c r="D10" s="993" t="s">
        <v>1087</v>
      </c>
      <c r="F10" s="1068" t="s">
        <v>1076</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287" t="s">
        <v>499</v>
      </c>
      <c r="P2" s="1288"/>
      <c r="Q2" s="1288"/>
      <c r="R2" s="1289"/>
      <c r="T2" s="1287" t="s">
        <v>267</v>
      </c>
      <c r="U2" s="1289"/>
    </row>
    <row r="3" spans="2:37" ht="19.95" customHeight="1" x14ac:dyDescent="0.3">
      <c r="B3" s="1290" t="s">
        <v>1053</v>
      </c>
      <c r="C3" s="1290"/>
      <c r="D3" s="1290"/>
      <c r="E3" s="1291"/>
      <c r="F3" s="1291"/>
      <c r="G3" s="1291"/>
      <c r="H3" s="1291"/>
      <c r="I3" s="1291"/>
      <c r="J3" s="1291"/>
      <c r="K3" s="207"/>
      <c r="L3" s="1292" t="s">
        <v>653</v>
      </c>
      <c r="M3" s="1293"/>
      <c r="N3" s="207"/>
      <c r="O3" s="471"/>
      <c r="P3" s="379"/>
      <c r="Q3" s="214" t="s">
        <v>469</v>
      </c>
      <c r="R3" s="215" t="s">
        <v>503</v>
      </c>
      <c r="T3" s="85"/>
      <c r="U3" s="395" t="s">
        <v>262</v>
      </c>
    </row>
    <row r="4" spans="2:37" ht="19.95" customHeight="1" x14ac:dyDescent="0.3">
      <c r="B4" s="425" t="s">
        <v>495</v>
      </c>
      <c r="C4" s="547" t="s">
        <v>685</v>
      </c>
      <c r="D4" s="588" t="s">
        <v>1051</v>
      </c>
      <c r="E4" s="464"/>
      <c r="F4" s="429"/>
      <c r="G4" s="429"/>
      <c r="H4" s="429"/>
      <c r="I4" s="429"/>
      <c r="J4" s="430"/>
      <c r="K4" s="413"/>
      <c r="L4" s="427" t="s">
        <v>577</v>
      </c>
      <c r="M4" s="426"/>
      <c r="N4" s="413"/>
      <c r="O4" s="437"/>
      <c r="P4" s="391"/>
      <c r="Q4" s="189" t="s">
        <v>470</v>
      </c>
      <c r="R4" s="380" t="s">
        <v>504</v>
      </c>
      <c r="T4" s="208"/>
      <c r="U4" s="395" t="s">
        <v>263</v>
      </c>
    </row>
    <row r="5" spans="2:37" ht="19.95" customHeight="1" x14ac:dyDescent="0.3">
      <c r="B5" s="1166"/>
      <c r="C5" s="540" t="s">
        <v>359</v>
      </c>
      <c r="D5" s="588" t="s">
        <v>1050</v>
      </c>
      <c r="E5" s="465"/>
      <c r="F5" s="418"/>
      <c r="G5" s="418"/>
      <c r="H5" s="418"/>
      <c r="I5" s="418"/>
      <c r="J5" s="431"/>
      <c r="K5" s="413"/>
      <c r="L5" s="428" t="s">
        <v>578</v>
      </c>
      <c r="M5" s="426"/>
      <c r="N5" s="413"/>
      <c r="O5" s="437"/>
      <c r="P5" s="391"/>
      <c r="Q5" s="214" t="s">
        <v>464</v>
      </c>
      <c r="R5" s="215" t="s">
        <v>502</v>
      </c>
      <c r="T5" s="95"/>
      <c r="U5" s="473" t="s">
        <v>264</v>
      </c>
    </row>
    <row r="6" spans="2:37" ht="19.95" customHeight="1" x14ac:dyDescent="0.3">
      <c r="B6" s="1294"/>
      <c r="C6" s="547" t="s">
        <v>588</v>
      </c>
      <c r="D6" s="588" t="s">
        <v>1022</v>
      </c>
      <c r="E6" s="465"/>
      <c r="F6" s="418"/>
      <c r="G6" s="418"/>
      <c r="H6" s="418"/>
      <c r="I6" s="418"/>
      <c r="J6" s="431"/>
      <c r="K6" s="413"/>
      <c r="L6" s="413"/>
      <c r="M6" s="413"/>
      <c r="N6" s="413"/>
      <c r="O6" s="437"/>
      <c r="P6" s="391"/>
      <c r="Q6" s="214" t="s">
        <v>465</v>
      </c>
      <c r="R6" s="215" t="s">
        <v>500</v>
      </c>
      <c r="T6" s="110"/>
      <c r="U6" s="477" t="s">
        <v>268</v>
      </c>
    </row>
    <row r="7" spans="2:37" ht="19.95" customHeight="1" x14ac:dyDescent="0.3">
      <c r="B7" s="1167"/>
      <c r="C7" s="587" t="s">
        <v>312</v>
      </c>
      <c r="D7" s="588" t="s">
        <v>434</v>
      </c>
      <c r="E7" s="466"/>
      <c r="F7" s="432"/>
      <c r="G7" s="432"/>
      <c r="H7" s="432"/>
      <c r="I7" s="432"/>
      <c r="J7" s="433"/>
      <c r="K7" s="413"/>
      <c r="L7" s="413"/>
      <c r="M7" s="413"/>
      <c r="N7" s="413"/>
      <c r="O7" s="472"/>
      <c r="P7" s="473"/>
      <c r="Q7" s="214" t="s">
        <v>466</v>
      </c>
      <c r="R7" s="215" t="s">
        <v>501</v>
      </c>
    </row>
    <row r="8" spans="2:37" ht="19.95" customHeight="1" x14ac:dyDescent="0.3">
      <c r="B8" s="468">
        <v>1</v>
      </c>
      <c r="Q8" s="180"/>
      <c r="R8" s="180"/>
      <c r="S8" s="415"/>
      <c r="T8" s="414"/>
      <c r="AI8" s="92"/>
      <c r="AJ8" s="92"/>
      <c r="AK8" s="92"/>
    </row>
    <row r="9" spans="2:37" ht="19.95" customHeight="1" x14ac:dyDescent="0.3">
      <c r="B9" s="189" t="s">
        <v>652</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094" t="s">
        <v>682</v>
      </c>
      <c r="C10" s="1095"/>
      <c r="D10" s="1095"/>
      <c r="E10" s="1095"/>
      <c r="F10" s="1095"/>
      <c r="G10" s="1095"/>
      <c r="H10" s="1095"/>
      <c r="I10" s="1096"/>
      <c r="J10" s="1094" t="s">
        <v>683</v>
      </c>
      <c r="K10" s="1095"/>
      <c r="L10" s="1095"/>
      <c r="M10" s="1095"/>
      <c r="N10" s="1095"/>
      <c r="O10" s="1095"/>
      <c r="P10" s="1095"/>
      <c r="Q10" s="1095"/>
      <c r="R10" s="1096"/>
      <c r="S10" s="1094" t="s">
        <v>643</v>
      </c>
      <c r="T10" s="1095"/>
      <c r="U10" s="1096"/>
    </row>
    <row r="11" spans="2:37" ht="19.95" customHeight="1" x14ac:dyDescent="0.3">
      <c r="B11" s="547" t="s">
        <v>356</v>
      </c>
      <c r="C11" s="524" t="s">
        <v>645</v>
      </c>
      <c r="D11" s="547" t="s">
        <v>497</v>
      </c>
      <c r="E11" s="553" t="s">
        <v>463</v>
      </c>
      <c r="F11" s="553" t="s">
        <v>315</v>
      </c>
      <c r="G11" s="553" t="s">
        <v>508</v>
      </c>
      <c r="H11" s="547" t="s">
        <v>505</v>
      </c>
      <c r="I11" s="539" t="s">
        <v>235</v>
      </c>
      <c r="J11" s="538" t="s">
        <v>465</v>
      </c>
      <c r="K11" s="538" t="s">
        <v>466</v>
      </c>
      <c r="L11" s="545" t="s">
        <v>585</v>
      </c>
      <c r="M11" s="546" t="s">
        <v>468</v>
      </c>
      <c r="N11" s="542" t="s">
        <v>467</v>
      </c>
      <c r="O11" s="632" t="s">
        <v>649</v>
      </c>
      <c r="P11" s="632" t="s">
        <v>650</v>
      </c>
      <c r="Q11" s="546" t="s">
        <v>464</v>
      </c>
      <c r="R11" s="543" t="s">
        <v>638</v>
      </c>
      <c r="S11" s="632" t="s">
        <v>646</v>
      </c>
      <c r="T11" s="547" t="s">
        <v>359</v>
      </c>
      <c r="U11" s="586" t="s">
        <v>579</v>
      </c>
    </row>
    <row r="12" spans="2:37" ht="19.95" customHeight="1" x14ac:dyDescent="0.3">
      <c r="B12" s="966" t="s">
        <v>1046</v>
      </c>
      <c r="C12" s="967" t="s">
        <v>1047</v>
      </c>
      <c r="D12" s="967"/>
      <c r="E12" s="967" t="s">
        <v>455</v>
      </c>
      <c r="F12" s="967">
        <v>2020</v>
      </c>
      <c r="G12" s="967" t="s">
        <v>487</v>
      </c>
      <c r="H12" s="967" t="s">
        <v>815</v>
      </c>
      <c r="I12" s="967" t="s">
        <v>877</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876</v>
      </c>
      <c r="C13" s="889" t="s">
        <v>358</v>
      </c>
      <c r="D13" s="889" t="s">
        <v>876</v>
      </c>
      <c r="E13" s="889" t="s">
        <v>455</v>
      </c>
      <c r="F13" s="889">
        <v>2014</v>
      </c>
      <c r="G13" s="889" t="s">
        <v>487</v>
      </c>
      <c r="H13" s="167" t="s">
        <v>815</v>
      </c>
      <c r="I13" s="167" t="s">
        <v>877</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1039</v>
      </c>
      <c r="U13" s="962" t="s">
        <v>1052</v>
      </c>
    </row>
    <row r="14" spans="2:37" ht="19.95" customHeight="1" x14ac:dyDescent="0.3">
      <c r="B14" s="961" t="s">
        <v>1039</v>
      </c>
      <c r="C14" s="889" t="s">
        <v>358</v>
      </c>
      <c r="D14" s="889" t="s">
        <v>1039</v>
      </c>
      <c r="E14" s="889" t="s">
        <v>455</v>
      </c>
      <c r="F14" s="889">
        <v>2007</v>
      </c>
      <c r="G14" s="889" t="s">
        <v>487</v>
      </c>
      <c r="H14" s="889" t="s">
        <v>815</v>
      </c>
      <c r="I14" s="889" t="s">
        <v>877</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876</v>
      </c>
      <c r="U14" s="962" t="s">
        <v>1052</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2" t="str">
        <f>TEXT(C9,0)</f>
        <v>0</v>
      </c>
      <c r="K21" s="1203"/>
      <c r="L21" s="1203"/>
      <c r="M21" s="1203"/>
      <c r="N21" s="1203"/>
      <c r="O21" s="1203"/>
      <c r="P21" s="1203"/>
      <c r="Q21" s="1203"/>
      <c r="R21" s="1203"/>
      <c r="S21" s="1203"/>
      <c r="T21" s="1204"/>
      <c r="U21" s="84"/>
    </row>
    <row r="22" spans="2:21" ht="19.95" customHeight="1" x14ac:dyDescent="0.3">
      <c r="B22" s="437"/>
      <c r="C22" s="476"/>
      <c r="D22" s="476"/>
      <c r="E22" s="476"/>
      <c r="F22" s="476"/>
      <c r="G22" s="476"/>
      <c r="H22" s="476"/>
      <c r="I22" s="476"/>
      <c r="J22" s="419" t="s">
        <v>647</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575</v>
      </c>
      <c r="K30" s="495" t="s">
        <v>651</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31" t="s">
        <v>612</v>
      </c>
      <c r="BU2" s="331" t="s">
        <v>613</v>
      </c>
      <c r="BV2" s="331" t="s">
        <v>623</v>
      </c>
      <c r="BW2" s="331" t="s">
        <v>614</v>
      </c>
      <c r="BX2" s="331" t="s">
        <v>615</v>
      </c>
      <c r="BY2" s="331" t="s">
        <v>616</v>
      </c>
      <c r="BZ2" s="331" t="s">
        <v>617</v>
      </c>
      <c r="CA2" s="331" t="s">
        <v>618</v>
      </c>
      <c r="CB2" s="331" t="s">
        <v>619</v>
      </c>
      <c r="CC2" s="331" t="s">
        <v>620</v>
      </c>
      <c r="CD2" s="331" t="s">
        <v>621</v>
      </c>
      <c r="CE2" s="331" t="s">
        <v>622</v>
      </c>
      <c r="CI2" s="83"/>
      <c r="CJ2" s="83"/>
      <c r="CK2" s="83"/>
      <c r="CL2" s="83"/>
      <c r="CM2" s="83"/>
      <c r="CN2" s="83"/>
      <c r="CO2" s="83"/>
    </row>
    <row r="3" spans="1:93" ht="18" x14ac:dyDescent="0.3">
      <c r="A3" s="83"/>
      <c r="B3" s="104"/>
      <c r="C3" s="1094" t="s">
        <v>270</v>
      </c>
      <c r="D3" s="1095"/>
      <c r="E3" s="1095"/>
      <c r="F3" s="1095"/>
      <c r="G3" s="1095"/>
      <c r="H3" s="1290" t="s">
        <v>229</v>
      </c>
      <c r="I3" s="1290"/>
      <c r="J3" s="105"/>
      <c r="K3" s="1094" t="s">
        <v>268</v>
      </c>
      <c r="L3" s="1095"/>
      <c r="M3" s="1095"/>
      <c r="N3" s="1095"/>
      <c r="O3" s="1095"/>
      <c r="P3" s="1095"/>
      <c r="Q3" s="1095"/>
      <c r="R3" s="1095"/>
      <c r="S3" s="109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669</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308" t="s">
        <v>693</v>
      </c>
      <c r="E5" s="1309"/>
      <c r="F5" s="105"/>
      <c r="G5" s="105"/>
      <c r="H5" s="1308" t="s">
        <v>267</v>
      </c>
      <c r="I5" s="1309"/>
      <c r="J5" s="105"/>
      <c r="K5" s="1310" t="s">
        <v>708</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1166" t="s">
        <v>495</v>
      </c>
      <c r="D6" s="638" t="s">
        <v>707</v>
      </c>
      <c r="E6" s="649" t="s">
        <v>692</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1167"/>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1080"/>
      <c r="D8" s="645"/>
      <c r="E8" s="646"/>
      <c r="F8" s="105"/>
      <c r="G8" s="105"/>
      <c r="H8" s="95"/>
      <c r="I8" s="115" t="s">
        <v>264</v>
      </c>
      <c r="J8" s="105"/>
      <c r="K8" s="1313"/>
      <c r="L8" s="1314"/>
      <c r="M8" s="1314"/>
      <c r="N8" s="1314"/>
      <c r="O8" s="1314"/>
      <c r="P8" s="1314"/>
      <c r="Q8" s="1314"/>
      <c r="R8" s="1314"/>
      <c r="S8" s="1315"/>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295" t="s">
        <v>668</v>
      </c>
      <c r="CI8" s="1296"/>
      <c r="CJ8" s="1296"/>
      <c r="CK8" s="1296"/>
      <c r="CL8" s="1296"/>
      <c r="CM8" s="1297"/>
      <c r="CN8" s="83"/>
      <c r="CO8" s="83"/>
    </row>
    <row r="9" spans="1:93" ht="15.6" x14ac:dyDescent="0.3">
      <c r="A9" s="83"/>
      <c r="B9" s="104"/>
      <c r="C9" s="1081"/>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1094" t="s">
        <v>510</v>
      </c>
      <c r="E11" s="1095"/>
      <c r="F11" s="1095"/>
      <c r="G11" s="1095"/>
      <c r="H11" s="1095"/>
      <c r="I11" s="1095"/>
      <c r="J11" s="1095"/>
      <c r="K11" s="1095"/>
      <c r="L11" s="1096"/>
      <c r="M11" s="1094" t="s">
        <v>511</v>
      </c>
      <c r="N11" s="1095"/>
      <c r="O11" s="1095"/>
      <c r="P11" s="1095"/>
      <c r="Q11" s="109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300" t="s">
        <v>229</v>
      </c>
      <c r="E12" s="300" t="s">
        <v>348</v>
      </c>
      <c r="F12" s="262" t="s">
        <v>234</v>
      </c>
      <c r="G12" s="262" t="s">
        <v>475</v>
      </c>
      <c r="H12" s="264" t="s">
        <v>235</v>
      </c>
      <c r="I12" s="300"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512</v>
      </c>
      <c r="E13" s="267" t="s">
        <v>7</v>
      </c>
      <c r="F13" s="294">
        <v>1</v>
      </c>
      <c r="G13" s="294" t="s">
        <v>354</v>
      </c>
      <c r="H13" s="294" t="s">
        <v>471</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512</v>
      </c>
      <c r="E14" s="267" t="s">
        <v>8</v>
      </c>
      <c r="F14" s="294">
        <v>1</v>
      </c>
      <c r="G14" s="294" t="s">
        <v>354</v>
      </c>
      <c r="H14" s="294" t="s">
        <v>471</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512</v>
      </c>
      <c r="E15" s="267" t="s">
        <v>513</v>
      </c>
      <c r="F15" s="294">
        <v>1</v>
      </c>
      <c r="G15" s="294" t="s">
        <v>354</v>
      </c>
      <c r="H15" s="294" t="s">
        <v>471</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473</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473</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513</v>
      </c>
      <c r="F22" s="294">
        <v>1</v>
      </c>
      <c r="G22" s="294" t="s">
        <v>354</v>
      </c>
      <c r="H22" s="294" t="s">
        <v>473</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473</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517</v>
      </c>
      <c r="E28" s="267" t="s">
        <v>34</v>
      </c>
      <c r="F28" s="294">
        <v>1</v>
      </c>
      <c r="G28" s="294" t="s">
        <v>354</v>
      </c>
      <c r="H28" s="294" t="s">
        <v>471</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4">
        <v>1</v>
      </c>
      <c r="G29" s="294" t="s">
        <v>354</v>
      </c>
      <c r="H29" s="294" t="s">
        <v>473</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4">
        <v>1</v>
      </c>
      <c r="G30" s="294" t="s">
        <v>354</v>
      </c>
      <c r="H30" s="294" t="s">
        <v>473</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4">
        <v>1</v>
      </c>
      <c r="G31" s="294" t="s">
        <v>354</v>
      </c>
      <c r="H31" s="294" t="s">
        <v>473</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4">
        <v>1</v>
      </c>
      <c r="G32" s="294" t="s">
        <v>354</v>
      </c>
      <c r="H32" s="294" t="s">
        <v>473</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4">
        <v>1</v>
      </c>
      <c r="G33" s="294" t="s">
        <v>354</v>
      </c>
      <c r="H33" s="294" t="s">
        <v>473</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4">
        <v>1</v>
      </c>
      <c r="G34" s="294" t="s">
        <v>354</v>
      </c>
      <c r="H34" s="294" t="s">
        <v>473</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519</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473</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473</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473</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473</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523</v>
      </c>
      <c r="E55" s="267" t="s">
        <v>88</v>
      </c>
      <c r="F55" s="294">
        <v>1</v>
      </c>
      <c r="G55" s="294">
        <v>1</v>
      </c>
      <c r="H55" s="294" t="s">
        <v>473</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523</v>
      </c>
      <c r="E56" s="267" t="s">
        <v>524</v>
      </c>
      <c r="F56" s="294">
        <v>1</v>
      </c>
      <c r="G56" s="294">
        <v>1</v>
      </c>
      <c r="H56" s="294" t="s">
        <v>473</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523</v>
      </c>
      <c r="E57" s="267" t="s">
        <v>91</v>
      </c>
      <c r="F57" s="294">
        <v>1</v>
      </c>
      <c r="G57" s="294">
        <v>1</v>
      </c>
      <c r="H57" s="294" t="s">
        <v>473</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523</v>
      </c>
      <c r="E58" s="267" t="s">
        <v>98</v>
      </c>
      <c r="F58" s="294">
        <v>1</v>
      </c>
      <c r="G58" s="294">
        <v>1</v>
      </c>
      <c r="H58" s="294" t="s">
        <v>473</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523</v>
      </c>
      <c r="E59" s="267" t="s">
        <v>99</v>
      </c>
      <c r="F59" s="294">
        <v>1</v>
      </c>
      <c r="G59" s="294">
        <v>1</v>
      </c>
      <c r="H59" s="294" t="s">
        <v>473</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523</v>
      </c>
      <c r="E60" s="267" t="s">
        <v>100</v>
      </c>
      <c r="F60" s="294">
        <v>1</v>
      </c>
      <c r="G60" s="294">
        <v>1</v>
      </c>
      <c r="H60" s="294" t="s">
        <v>473</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523</v>
      </c>
      <c r="E61" s="267" t="s">
        <v>101</v>
      </c>
      <c r="F61" s="294">
        <v>1</v>
      </c>
      <c r="G61" s="294">
        <v>1</v>
      </c>
      <c r="H61" s="294" t="s">
        <v>473</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530</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530</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530</v>
      </c>
      <c r="J69" s="294" t="str">
        <f>+IF(F69&gt;'Equipment Data'!$L$126,"yes","No")</f>
        <v>No</v>
      </c>
      <c r="K69" s="294">
        <v>0.67</v>
      </c>
      <c r="L69" s="294" t="s">
        <v>529</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530</v>
      </c>
      <c r="J70" s="294" t="str">
        <f>+IF(F70&gt;'Equipment Data'!$L$128,"yes","No")</f>
        <v>No</v>
      </c>
      <c r="K70" s="294">
        <v>0.67</v>
      </c>
      <c r="L70" s="294" t="s">
        <v>529</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530</v>
      </c>
      <c r="J71" s="294" t="str">
        <f>+IF(F71&gt;'Equipment Data'!$L$130,"yes","No")</f>
        <v>No</v>
      </c>
      <c r="K71" s="294">
        <v>0.67</v>
      </c>
      <c r="L71" s="294" t="s">
        <v>529</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530</v>
      </c>
      <c r="J72" s="294" t="str">
        <f>+IF(F72&gt;'Equipment Data'!$L$132,"yes","No")</f>
        <v>No</v>
      </c>
      <c r="K72" s="294">
        <v>0.67</v>
      </c>
      <c r="L72" s="294" t="s">
        <v>529</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530</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530</v>
      </c>
      <c r="J76" s="294" t="str">
        <f>+IF(F76&gt;'Equipment Data'!$L$139,"yes","No")</f>
        <v>No</v>
      </c>
      <c r="K76" s="294">
        <v>0.67</v>
      </c>
      <c r="L76" s="294" t="s">
        <v>529</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525</v>
      </c>
      <c r="E79" s="267" t="s">
        <v>146</v>
      </c>
      <c r="F79" s="294">
        <v>1</v>
      </c>
      <c r="G79" s="294" t="s">
        <v>354</v>
      </c>
      <c r="H79" s="294" t="s">
        <v>473</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4">
        <v>1</v>
      </c>
      <c r="G80" s="294" t="s">
        <v>354</v>
      </c>
      <c r="H80" s="294" t="s">
        <v>473</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4">
        <v>1</v>
      </c>
      <c r="G81" s="294" t="s">
        <v>354</v>
      </c>
      <c r="H81" s="294" t="s">
        <v>473</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473</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473</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473</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526</v>
      </c>
      <c r="E85" s="267" t="s">
        <v>161</v>
      </c>
      <c r="F85" s="294">
        <v>1</v>
      </c>
      <c r="G85" s="294" t="s">
        <v>354</v>
      </c>
      <c r="H85" s="294" t="s">
        <v>471</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4">
        <v>1</v>
      </c>
      <c r="G86" s="294" t="s">
        <v>354</v>
      </c>
      <c r="H86" s="294" t="s">
        <v>471</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4">
        <v>1</v>
      </c>
      <c r="G87" s="294" t="s">
        <v>354</v>
      </c>
      <c r="H87" s="294" t="s">
        <v>471</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4">
        <v>1</v>
      </c>
      <c r="G88" s="294" t="s">
        <v>354</v>
      </c>
      <c r="H88" s="294" t="s">
        <v>471</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4">
        <v>1</v>
      </c>
      <c r="G89" s="294" t="s">
        <v>354</v>
      </c>
      <c r="H89" s="294" t="s">
        <v>471</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4">
        <v>1</v>
      </c>
      <c r="G90" s="294" t="s">
        <v>354</v>
      </c>
      <c r="H90" s="294" t="s">
        <v>471</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527</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527</v>
      </c>
      <c r="E92" s="267" t="s">
        <v>513</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527</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527</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471</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471</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473</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473</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471</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471</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471</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471</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471</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535</v>
      </c>
      <c r="E107" s="267" t="s">
        <v>669</v>
      </c>
      <c r="F107" s="315">
        <v>1</v>
      </c>
      <c r="G107" s="315" t="s">
        <v>354</v>
      </c>
      <c r="H107" s="315" t="s">
        <v>471</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126"/>
      <c r="D109" s="1127"/>
      <c r="E109" s="1127"/>
      <c r="F109" s="1127"/>
      <c r="G109" s="1127"/>
      <c r="H109" s="1127"/>
      <c r="I109" s="1127"/>
      <c r="J109" s="1127"/>
      <c r="K109" s="1127"/>
      <c r="L109" s="1127"/>
      <c r="M109" s="1127"/>
      <c r="N109" s="1127"/>
      <c r="O109" s="1127"/>
      <c r="P109" s="1127"/>
      <c r="Q109" s="1127"/>
      <c r="R109" s="1128"/>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94" t="s">
        <v>357</v>
      </c>
      <c r="C2" s="1095"/>
      <c r="D2" s="1095"/>
      <c r="E2" s="1096"/>
      <c r="F2" s="92"/>
      <c r="G2" s="92"/>
      <c r="H2" s="92"/>
      <c r="I2" s="92"/>
      <c r="J2" s="92"/>
      <c r="K2" s="92"/>
      <c r="L2" s="92"/>
    </row>
    <row r="3" spans="2:12" ht="27" customHeight="1" x14ac:dyDescent="0.3">
      <c r="B3" s="547" t="s">
        <v>686</v>
      </c>
      <c r="C3" s="634" t="s">
        <v>359</v>
      </c>
      <c r="D3" s="635" t="s">
        <v>579</v>
      </c>
      <c r="E3" s="636" t="s">
        <v>687</v>
      </c>
      <c r="F3" s="92"/>
      <c r="G3" s="92"/>
      <c r="H3" s="92"/>
      <c r="I3" s="92"/>
      <c r="J3" s="92"/>
      <c r="K3" s="92"/>
      <c r="L3" s="92"/>
    </row>
    <row r="4" spans="2:12" ht="27" customHeight="1" x14ac:dyDescent="0.3">
      <c r="B4" s="956">
        <f>+'Unit-100 - NG Pre-treating'!AG49</f>
        <v>1</v>
      </c>
      <c r="C4" s="896" t="str">
        <f>+'Unit-100 - NG Pre-treating'!AH49</f>
        <v>Manzolini [1]</v>
      </c>
      <c r="D4" s="958" t="s">
        <v>986</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987</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1032</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988</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989</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1042</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990</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991</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1035</v>
      </c>
      <c r="E12" s="100" t="str">
        <f>+'Unit-700 - CWT'!I65</f>
        <v>CWT Cost</v>
      </c>
      <c r="G12" s="126"/>
      <c r="H12" s="126"/>
      <c r="I12" s="126"/>
      <c r="J12" s="126"/>
      <c r="K12" s="126"/>
      <c r="L12" s="92"/>
    </row>
    <row r="13" spans="2:12" ht="27" customHeight="1" x14ac:dyDescent="0.3">
      <c r="B13" s="633">
        <f>+'Plant OPEX'!S5</f>
        <v>10</v>
      </c>
      <c r="C13" s="896" t="str">
        <f>+'Plant OPEX'!T5</f>
        <v>Nazir [2]</v>
      </c>
      <c r="D13" s="920" t="s">
        <v>992</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1036</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489</v>
      </c>
      <c r="C2" s="187" t="s">
        <v>314</v>
      </c>
      <c r="D2" s="372" t="s">
        <v>490</v>
      </c>
      <c r="E2" s="83"/>
      <c r="F2" s="376" t="s">
        <v>476</v>
      </c>
      <c r="G2" s="364" t="s">
        <v>602</v>
      </c>
      <c r="H2" s="293" t="s">
        <v>491</v>
      </c>
      <c r="I2" s="83"/>
      <c r="J2" s="1196" t="s">
        <v>492</v>
      </c>
      <c r="K2" s="1198"/>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477</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478</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479</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480</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481</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487</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599</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482</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601</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483</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600</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484</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596</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597</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598</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610</v>
      </c>
      <c r="H24" s="1319"/>
      <c r="I24" s="1319"/>
      <c r="J24" s="371" t="s">
        <v>609</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476</v>
      </c>
      <c r="G25" s="366" t="s">
        <v>229</v>
      </c>
      <c r="H25" s="371"/>
      <c r="I25" s="367"/>
      <c r="J25" s="373" t="s">
        <v>625</v>
      </c>
      <c r="K25" s="367"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603</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604</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605</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606</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596</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599</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607</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484</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483</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598</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608</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601</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597</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628</v>
      </c>
    </row>
    <row r="4" spans="2:11" x14ac:dyDescent="0.3">
      <c r="B4" s="97"/>
      <c r="J4" s="344"/>
      <c r="K4" s="86" t="s">
        <v>629</v>
      </c>
    </row>
    <row r="5" spans="2:11" ht="18" x14ac:dyDescent="0.3">
      <c r="B5" s="87" t="s">
        <v>342</v>
      </c>
      <c r="C5" s="131" t="s">
        <v>312</v>
      </c>
      <c r="D5" s="132" t="s">
        <v>350</v>
      </c>
      <c r="E5" s="132" t="s">
        <v>286</v>
      </c>
      <c r="F5" s="133" t="s">
        <v>375</v>
      </c>
      <c r="G5" s="134" t="s">
        <v>627</v>
      </c>
      <c r="H5" s="135" t="s">
        <v>626</v>
      </c>
    </row>
    <row r="6" spans="2:11" ht="15.6" x14ac:dyDescent="0.3">
      <c r="B6" s="1092">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397</v>
      </c>
      <c r="F11" s="139"/>
      <c r="G11" s="318"/>
      <c r="H11" s="100"/>
    </row>
    <row r="12" spans="2:11" ht="15.6" x14ac:dyDescent="0.3">
      <c r="B12" s="1093"/>
      <c r="C12" s="1327"/>
      <c r="D12" s="140"/>
      <c r="E12" s="140" t="s">
        <v>291</v>
      </c>
      <c r="F12" s="146"/>
      <c r="G12" s="319"/>
      <c r="H12" s="327"/>
    </row>
    <row r="13" spans="2:11" ht="15.6" x14ac:dyDescent="0.3">
      <c r="B13" s="1328">
        <v>2</v>
      </c>
      <c r="C13" s="1325" t="s">
        <v>418</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389</v>
      </c>
      <c r="F25" s="138" t="s">
        <v>390</v>
      </c>
      <c r="G25" s="315"/>
      <c r="H25" s="100"/>
    </row>
    <row r="26" spans="2:8" ht="15.6" x14ac:dyDescent="0.3">
      <c r="B26" s="1328"/>
      <c r="C26" s="1326"/>
      <c r="D26" s="142"/>
      <c r="E26" s="142"/>
      <c r="F26" s="138" t="s">
        <v>391</v>
      </c>
      <c r="G26" s="315"/>
      <c r="H26" s="100"/>
    </row>
    <row r="27" spans="2:8" ht="15.6" x14ac:dyDescent="0.3">
      <c r="B27" s="1093"/>
      <c r="C27" s="1327"/>
      <c r="D27" s="143"/>
      <c r="E27" s="143" t="s">
        <v>433</v>
      </c>
      <c r="F27" s="140"/>
      <c r="G27" s="320"/>
      <c r="H27" s="327"/>
    </row>
    <row r="28" spans="2:8" ht="15.6" x14ac:dyDescent="0.3">
      <c r="B28" s="1092">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362</v>
      </c>
      <c r="F32" s="139"/>
      <c r="G32" s="318"/>
      <c r="H32" s="100"/>
    </row>
    <row r="33" spans="2:8" ht="15.6" x14ac:dyDescent="0.3">
      <c r="B33" s="1328"/>
      <c r="C33" s="1323"/>
      <c r="D33" s="138" t="s">
        <v>404</v>
      </c>
      <c r="E33" s="138" t="s">
        <v>41</v>
      </c>
      <c r="F33" s="139"/>
      <c r="G33" s="318"/>
      <c r="H33" s="100"/>
    </row>
    <row r="34" spans="2:8" ht="15.6" x14ac:dyDescent="0.3">
      <c r="B34" s="1328"/>
      <c r="C34" s="1323"/>
      <c r="D34" s="138"/>
      <c r="E34" s="138" t="s">
        <v>331</v>
      </c>
      <c r="F34" s="139" t="s">
        <v>409</v>
      </c>
      <c r="G34" s="318"/>
      <c r="H34" s="100"/>
    </row>
    <row r="35" spans="2:8" ht="15.6" x14ac:dyDescent="0.3">
      <c r="B35" s="1328"/>
      <c r="C35" s="1323"/>
      <c r="D35" s="138"/>
      <c r="E35" s="138"/>
      <c r="F35" s="139" t="s">
        <v>410</v>
      </c>
      <c r="G35" s="318"/>
      <c r="H35" s="100"/>
    </row>
    <row r="36" spans="2:8" ht="15.6" x14ac:dyDescent="0.3">
      <c r="B36" s="1328"/>
      <c r="C36" s="1323"/>
      <c r="D36" s="138"/>
      <c r="E36" s="138" t="s">
        <v>405</v>
      </c>
      <c r="F36" s="139" t="s">
        <v>408</v>
      </c>
      <c r="G36" s="318"/>
      <c r="H36" s="100"/>
    </row>
    <row r="37" spans="2:8" ht="15.6" x14ac:dyDescent="0.3">
      <c r="B37" s="1328"/>
      <c r="C37" s="1323"/>
      <c r="D37" s="138" t="s">
        <v>413</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407</v>
      </c>
      <c r="E39" s="138" t="s">
        <v>435</v>
      </c>
      <c r="F39" s="139"/>
      <c r="G39" s="318"/>
      <c r="H39" s="100"/>
    </row>
    <row r="40" spans="2:8" ht="15.6" x14ac:dyDescent="0.3">
      <c r="B40" s="1328"/>
      <c r="C40" s="1323"/>
      <c r="D40" s="138" t="s">
        <v>436</v>
      </c>
      <c r="E40" s="138"/>
      <c r="F40" s="139"/>
      <c r="G40" s="318"/>
      <c r="H40" s="100"/>
    </row>
    <row r="41" spans="2:8" ht="15.6" x14ac:dyDescent="0.3">
      <c r="B41" s="1328"/>
      <c r="C41" s="1323"/>
      <c r="D41" s="138"/>
      <c r="E41" s="138" t="s">
        <v>403</v>
      </c>
      <c r="F41" s="139"/>
      <c r="G41" s="318"/>
      <c r="H41" s="100"/>
    </row>
    <row r="42" spans="2:8" ht="15.6" x14ac:dyDescent="0.3">
      <c r="B42" s="1328"/>
      <c r="C42" s="1323"/>
      <c r="D42" s="138"/>
      <c r="E42" s="138" t="s">
        <v>406</v>
      </c>
      <c r="F42" s="139"/>
      <c r="G42" s="318"/>
      <c r="H42" s="100"/>
    </row>
    <row r="43" spans="2:8" ht="15.6" x14ac:dyDescent="0.3">
      <c r="B43" s="1328"/>
      <c r="C43" s="1323"/>
      <c r="D43" s="138" t="s">
        <v>374</v>
      </c>
      <c r="E43" s="138"/>
      <c r="F43" s="139"/>
      <c r="G43" s="318"/>
      <c r="H43" s="100"/>
    </row>
    <row r="44" spans="2:8" ht="15.6" x14ac:dyDescent="0.3">
      <c r="B44" s="1328"/>
      <c r="C44" s="1323"/>
      <c r="D44" s="138" t="s">
        <v>401</v>
      </c>
      <c r="E44" s="138"/>
      <c r="F44" s="139"/>
      <c r="G44" s="318"/>
      <c r="H44" s="100"/>
    </row>
    <row r="45" spans="2:8" ht="15.6" x14ac:dyDescent="0.3">
      <c r="B45" s="1328"/>
      <c r="C45" s="1323"/>
      <c r="D45" s="138" t="s">
        <v>402</v>
      </c>
      <c r="E45" s="138"/>
      <c r="F45" s="139"/>
      <c r="G45" s="318"/>
      <c r="H45" s="100"/>
    </row>
    <row r="46" spans="2:8" ht="15.6" x14ac:dyDescent="0.3">
      <c r="B46" s="1328"/>
      <c r="C46" s="1323"/>
      <c r="D46" s="138"/>
      <c r="E46" s="138" t="s">
        <v>399</v>
      </c>
      <c r="F46" s="139"/>
      <c r="G46" s="318"/>
      <c r="H46" s="100"/>
    </row>
    <row r="47" spans="2:8" ht="15.6" x14ac:dyDescent="0.3">
      <c r="B47" s="1328"/>
      <c r="C47" s="1323"/>
      <c r="D47" s="138"/>
      <c r="E47" s="138" t="s">
        <v>411</v>
      </c>
      <c r="F47" s="139"/>
      <c r="G47" s="318"/>
      <c r="H47" s="100"/>
    </row>
    <row r="48" spans="2:8" ht="15.6" x14ac:dyDescent="0.3">
      <c r="B48" s="1328"/>
      <c r="C48" s="1323"/>
      <c r="D48" s="138" t="s">
        <v>355</v>
      </c>
      <c r="E48" s="138"/>
      <c r="F48" s="139"/>
      <c r="G48" s="318"/>
      <c r="H48" s="100"/>
    </row>
    <row r="49" spans="2:8" ht="15.6" x14ac:dyDescent="0.3">
      <c r="B49" s="1328"/>
      <c r="C49" s="1323"/>
      <c r="D49" s="144"/>
      <c r="E49" s="138" t="s">
        <v>412</v>
      </c>
      <c r="F49" s="139"/>
      <c r="G49" s="318"/>
      <c r="H49" s="100"/>
    </row>
    <row r="50" spans="2:8" ht="15.6" x14ac:dyDescent="0.3">
      <c r="B50" s="1328"/>
      <c r="C50" s="1323"/>
      <c r="D50" s="144"/>
      <c r="E50" s="138" t="s">
        <v>400</v>
      </c>
      <c r="F50" s="139"/>
      <c r="G50" s="318"/>
      <c r="H50" s="100"/>
    </row>
    <row r="51" spans="2:8" ht="15.6" x14ac:dyDescent="0.3">
      <c r="B51" s="1093"/>
      <c r="C51" s="1324"/>
      <c r="D51" s="341"/>
      <c r="E51" s="140" t="s">
        <v>363</v>
      </c>
      <c r="F51" s="146"/>
      <c r="G51" s="319"/>
      <c r="H51" s="327"/>
    </row>
    <row r="52" spans="2:8" ht="15.6" x14ac:dyDescent="0.3">
      <c r="B52" s="1092">
        <v>4</v>
      </c>
      <c r="C52" s="1330" t="s">
        <v>434</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428</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429</v>
      </c>
      <c r="E58" s="342"/>
      <c r="F58" s="138"/>
      <c r="G58" s="318"/>
      <c r="H58" s="100"/>
    </row>
    <row r="59" spans="2:8" ht="15.6" x14ac:dyDescent="0.3">
      <c r="B59" s="1328"/>
      <c r="C59" s="1331"/>
      <c r="D59" s="138"/>
      <c r="E59" s="142" t="s">
        <v>422</v>
      </c>
      <c r="F59" s="138" t="s">
        <v>426</v>
      </c>
      <c r="G59" s="318"/>
      <c r="H59" s="100"/>
    </row>
    <row r="60" spans="2:8" ht="15.6" x14ac:dyDescent="0.3">
      <c r="B60" s="1328"/>
      <c r="C60" s="1331"/>
      <c r="D60" s="138"/>
      <c r="E60" s="142" t="s">
        <v>424</v>
      </c>
      <c r="F60" s="138" t="s">
        <v>200</v>
      </c>
      <c r="G60" s="318"/>
      <c r="H60" s="100"/>
    </row>
    <row r="61" spans="2:8" ht="15.6" x14ac:dyDescent="0.3">
      <c r="B61" s="1328"/>
      <c r="C61" s="1331"/>
      <c r="D61" s="138"/>
      <c r="E61" s="142" t="s">
        <v>423</v>
      </c>
      <c r="F61" s="138" t="s">
        <v>427</v>
      </c>
      <c r="G61" s="318"/>
      <c r="H61" s="100"/>
    </row>
    <row r="62" spans="2:8" ht="15.6" x14ac:dyDescent="0.3">
      <c r="B62" s="1328"/>
      <c r="C62" s="1331"/>
      <c r="D62" s="138" t="s">
        <v>630</v>
      </c>
      <c r="E62" s="142"/>
      <c r="F62" s="138"/>
      <c r="G62" s="318"/>
      <c r="H62" s="100"/>
    </row>
    <row r="63" spans="2:8" ht="15.6" x14ac:dyDescent="0.3">
      <c r="B63" s="1093"/>
      <c r="C63" s="1332"/>
      <c r="D63" s="140"/>
      <c r="E63" s="143"/>
      <c r="F63" s="140"/>
      <c r="G63" s="319"/>
      <c r="H63" s="327"/>
    </row>
    <row r="64" spans="2:8" ht="15.6" x14ac:dyDescent="0.3">
      <c r="B64" s="1092">
        <v>5</v>
      </c>
      <c r="C64" s="1325" t="s">
        <v>419</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417</v>
      </c>
      <c r="E70" s="138"/>
      <c r="F70" s="139"/>
      <c r="G70" s="318"/>
      <c r="H70" s="100"/>
    </row>
    <row r="71" spans="2:8" ht="15.6" x14ac:dyDescent="0.3">
      <c r="B71" s="1328"/>
      <c r="C71" s="1326"/>
      <c r="D71" s="138"/>
      <c r="E71" s="138" t="s">
        <v>291</v>
      </c>
      <c r="F71" s="139"/>
      <c r="G71" s="318"/>
      <c r="H71" s="100"/>
    </row>
    <row r="72" spans="2:8" ht="15.6" x14ac:dyDescent="0.3">
      <c r="B72" s="1328"/>
      <c r="C72" s="1326"/>
      <c r="D72" s="138" t="s">
        <v>392</v>
      </c>
      <c r="E72" s="138"/>
      <c r="F72" s="139"/>
      <c r="G72" s="318"/>
      <c r="H72" s="100"/>
    </row>
    <row r="73" spans="2:8" ht="15.6" x14ac:dyDescent="0.3">
      <c r="B73" s="1328"/>
      <c r="C73" s="1326"/>
      <c r="D73" s="138"/>
      <c r="E73" s="138" t="s">
        <v>393</v>
      </c>
      <c r="F73" s="139" t="s">
        <v>390</v>
      </c>
      <c r="G73" s="318"/>
      <c r="H73" s="100"/>
    </row>
    <row r="74" spans="2:8" ht="15.6" x14ac:dyDescent="0.3">
      <c r="B74" s="1328"/>
      <c r="C74" s="1326"/>
      <c r="D74" s="138"/>
      <c r="E74" s="138" t="s">
        <v>394</v>
      </c>
      <c r="F74" s="139" t="s">
        <v>395</v>
      </c>
      <c r="G74" s="318"/>
      <c r="H74" s="100"/>
    </row>
    <row r="75" spans="2:8" ht="15.6" x14ac:dyDescent="0.3">
      <c r="B75" s="1328"/>
      <c r="C75" s="1326"/>
      <c r="D75" s="138" t="s">
        <v>425</v>
      </c>
      <c r="E75" s="138"/>
      <c r="F75" s="139"/>
      <c r="G75" s="318"/>
      <c r="H75" s="100"/>
    </row>
    <row r="76" spans="2:8" ht="15.6" x14ac:dyDescent="0.3">
      <c r="B76" s="1328"/>
      <c r="C76" s="1326"/>
      <c r="D76" s="138"/>
      <c r="E76" s="138" t="s">
        <v>420</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432</v>
      </c>
      <c r="G78" s="318"/>
      <c r="H78" s="100"/>
    </row>
    <row r="79" spans="2:8" ht="15.6" x14ac:dyDescent="0.3">
      <c r="B79" s="1328"/>
      <c r="C79" s="1326"/>
      <c r="D79" s="138"/>
      <c r="E79" s="138" t="s">
        <v>421</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093"/>
      <c r="C83" s="1327"/>
      <c r="D83" s="140"/>
      <c r="E83" s="140"/>
      <c r="F83" s="146"/>
      <c r="G83" s="319"/>
      <c r="H83" s="327"/>
    </row>
    <row r="84" spans="2:8" ht="15.6" x14ac:dyDescent="0.3">
      <c r="B84" s="1092">
        <v>6</v>
      </c>
      <c r="C84" s="1329" t="s">
        <v>430</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388</v>
      </c>
      <c r="F90" s="139"/>
      <c r="G90" s="318"/>
      <c r="H90" s="100"/>
    </row>
    <row r="91" spans="2:8" ht="15.6" x14ac:dyDescent="0.3">
      <c r="B91" s="1328"/>
      <c r="C91" s="1323"/>
      <c r="D91" s="138"/>
      <c r="E91" s="138"/>
      <c r="F91" s="139" t="s">
        <v>431</v>
      </c>
      <c r="G91" s="318"/>
      <c r="H91" s="100"/>
    </row>
    <row r="92" spans="2:8" ht="15.6" x14ac:dyDescent="0.3">
      <c r="B92" s="1328"/>
      <c r="C92" s="1323"/>
      <c r="D92" s="138" t="s">
        <v>360</v>
      </c>
      <c r="E92" s="138"/>
      <c r="F92" s="139"/>
      <c r="G92" s="318"/>
      <c r="H92" s="100"/>
    </row>
    <row r="93" spans="2:8" ht="15.6" x14ac:dyDescent="0.3">
      <c r="B93" s="1328"/>
      <c r="C93" s="1323"/>
      <c r="D93" s="138"/>
      <c r="E93" s="138" t="s">
        <v>361</v>
      </c>
      <c r="F93" s="139" t="s">
        <v>365</v>
      </c>
      <c r="G93" s="318"/>
      <c r="H93" s="100"/>
    </row>
    <row r="94" spans="2:8" ht="15.6" x14ac:dyDescent="0.3">
      <c r="B94" s="1328"/>
      <c r="C94" s="1323"/>
      <c r="D94" s="138"/>
      <c r="E94" s="138"/>
      <c r="F94" s="139" t="s">
        <v>366</v>
      </c>
      <c r="G94" s="318"/>
      <c r="H94" s="100"/>
    </row>
    <row r="95" spans="2:8" ht="15.6" x14ac:dyDescent="0.3">
      <c r="B95" s="1328"/>
      <c r="C95" s="1323"/>
      <c r="D95" s="138" t="s">
        <v>367</v>
      </c>
      <c r="E95" s="138"/>
      <c r="F95" s="139"/>
      <c r="G95" s="318"/>
      <c r="H95" s="100"/>
    </row>
    <row r="96" spans="2:8" ht="15.6" x14ac:dyDescent="0.3">
      <c r="B96" s="1328"/>
      <c r="C96" s="1323"/>
      <c r="D96" s="138"/>
      <c r="E96" s="138" t="s">
        <v>368</v>
      </c>
      <c r="F96" s="139" t="s">
        <v>370</v>
      </c>
      <c r="G96" s="318"/>
      <c r="H96" s="100"/>
    </row>
    <row r="97" spans="2:8" ht="15.6" x14ac:dyDescent="0.3">
      <c r="B97" s="1328"/>
      <c r="C97" s="1323"/>
      <c r="D97" s="138"/>
      <c r="E97" s="138" t="s">
        <v>369</v>
      </c>
      <c r="F97" s="139" t="s">
        <v>371</v>
      </c>
      <c r="G97" s="318"/>
      <c r="H97" s="100"/>
    </row>
    <row r="98" spans="2:8" ht="15.6" x14ac:dyDescent="0.3">
      <c r="B98" s="1328"/>
      <c r="C98" s="1323"/>
      <c r="D98" s="138"/>
      <c r="E98" s="138"/>
      <c r="F98" s="139" t="s">
        <v>372</v>
      </c>
      <c r="G98" s="318"/>
      <c r="H98" s="100"/>
    </row>
    <row r="99" spans="2:8" ht="15.6" x14ac:dyDescent="0.3">
      <c r="B99" s="1093"/>
      <c r="C99" s="1324"/>
      <c r="D99" s="140"/>
      <c r="E99" s="140" t="s">
        <v>373</v>
      </c>
      <c r="F99" s="146"/>
      <c r="G99" s="319"/>
      <c r="H99" s="327"/>
    </row>
    <row r="100" spans="2:8" ht="15.6" x14ac:dyDescent="0.3">
      <c r="B100" s="1123">
        <v>7</v>
      </c>
      <c r="C100" s="1323" t="s">
        <v>414</v>
      </c>
      <c r="D100" s="138"/>
      <c r="E100" s="138"/>
      <c r="F100" s="139"/>
      <c r="G100" s="318"/>
      <c r="H100" s="100"/>
    </row>
    <row r="101" spans="2:8" ht="15.6" x14ac:dyDescent="0.3">
      <c r="B101" s="1301"/>
      <c r="C101" s="1323"/>
      <c r="D101" s="138" t="s">
        <v>376</v>
      </c>
      <c r="E101" s="147" t="s">
        <v>377</v>
      </c>
      <c r="F101" s="139"/>
      <c r="G101" s="318"/>
      <c r="H101" s="100"/>
    </row>
    <row r="102" spans="2:8" ht="15.6" x14ac:dyDescent="0.3">
      <c r="B102" s="1301"/>
      <c r="C102" s="1323"/>
      <c r="D102" s="138"/>
      <c r="E102" s="138" t="s">
        <v>396</v>
      </c>
      <c r="F102" s="139" t="s">
        <v>380</v>
      </c>
      <c r="G102" s="318"/>
      <c r="H102" s="100"/>
    </row>
    <row r="103" spans="2:8" ht="15.6" x14ac:dyDescent="0.3">
      <c r="B103" s="1301"/>
      <c r="C103" s="1323"/>
      <c r="D103" s="138" t="s">
        <v>381</v>
      </c>
      <c r="E103" s="138"/>
      <c r="F103" s="139"/>
      <c r="G103" s="318"/>
      <c r="H103" s="100"/>
    </row>
    <row r="104" spans="2:8" ht="15.6" x14ac:dyDescent="0.3">
      <c r="B104" s="1301"/>
      <c r="C104" s="1323"/>
      <c r="D104" s="138"/>
      <c r="E104" s="147" t="s">
        <v>378</v>
      </c>
      <c r="F104" s="139" t="s">
        <v>415</v>
      </c>
      <c r="G104" s="318"/>
      <c r="H104" s="100"/>
    </row>
    <row r="105" spans="2:8" ht="15.6" x14ac:dyDescent="0.3">
      <c r="B105" s="1301"/>
      <c r="C105" s="1323"/>
      <c r="D105" s="138"/>
      <c r="E105" s="138" t="s">
        <v>382</v>
      </c>
      <c r="F105" s="139" t="s">
        <v>416</v>
      </c>
      <c r="G105" s="318"/>
      <c r="H105" s="100"/>
    </row>
    <row r="106" spans="2:8" ht="15.6" x14ac:dyDescent="0.3">
      <c r="B106" s="1301"/>
      <c r="C106" s="1323"/>
      <c r="D106" s="138"/>
      <c r="E106" s="138" t="s">
        <v>364</v>
      </c>
      <c r="F106" s="139"/>
      <c r="G106" s="318"/>
      <c r="H106" s="100"/>
    </row>
    <row r="107" spans="2:8" ht="15.6" x14ac:dyDescent="0.3">
      <c r="B107" s="1301"/>
      <c r="C107" s="1323"/>
      <c r="D107" s="138" t="s">
        <v>379</v>
      </c>
      <c r="E107" s="138"/>
      <c r="F107" s="139"/>
      <c r="G107" s="318"/>
      <c r="H107" s="100"/>
    </row>
    <row r="108" spans="2:8" ht="15.6" x14ac:dyDescent="0.3">
      <c r="B108" s="1301"/>
      <c r="C108" s="1323"/>
      <c r="D108" s="138"/>
      <c r="E108" s="138" t="s">
        <v>386</v>
      </c>
      <c r="F108" s="139"/>
      <c r="G108" s="318"/>
      <c r="H108" s="100"/>
    </row>
    <row r="109" spans="2:8" ht="15.6" x14ac:dyDescent="0.3">
      <c r="B109" s="1301"/>
      <c r="C109" s="1323"/>
      <c r="D109" s="138"/>
      <c r="E109" s="138" t="s">
        <v>398</v>
      </c>
      <c r="F109" s="139"/>
      <c r="G109" s="318"/>
      <c r="H109" s="100"/>
    </row>
    <row r="110" spans="2:8" ht="15.6" x14ac:dyDescent="0.3">
      <c r="B110" s="1301"/>
      <c r="C110" s="1323"/>
      <c r="D110" s="138" t="s">
        <v>384</v>
      </c>
      <c r="E110" s="145"/>
      <c r="F110" s="139"/>
      <c r="G110" s="318"/>
      <c r="H110" s="100"/>
    </row>
    <row r="111" spans="2:8" ht="15.6" x14ac:dyDescent="0.3">
      <c r="B111" s="1301"/>
      <c r="C111" s="1323"/>
      <c r="D111" s="138"/>
      <c r="E111" s="138" t="s">
        <v>383</v>
      </c>
      <c r="F111" s="139"/>
      <c r="G111" s="318"/>
      <c r="H111" s="100"/>
    </row>
    <row r="112" spans="2:8" ht="15.6" x14ac:dyDescent="0.3">
      <c r="B112" s="1301"/>
      <c r="C112" s="1323"/>
      <c r="D112" s="138"/>
      <c r="E112" s="138" t="s">
        <v>385</v>
      </c>
      <c r="F112" s="139"/>
      <c r="G112" s="318"/>
      <c r="H112" s="100"/>
    </row>
    <row r="113" spans="2:8" ht="15.6" x14ac:dyDescent="0.3">
      <c r="B113" s="1126"/>
      <c r="C113" s="1324"/>
      <c r="D113" s="140"/>
      <c r="E113" s="140" t="s">
        <v>387</v>
      </c>
      <c r="F113" s="146"/>
      <c r="G113" s="319"/>
      <c r="H113" s="327"/>
    </row>
    <row r="117" spans="2:8" x14ac:dyDescent="0.3">
      <c r="C117" t="s">
        <v>312</v>
      </c>
      <c r="D117" t="s">
        <v>463</v>
      </c>
      <c r="E117" s="251" t="s">
        <v>476</v>
      </c>
      <c r="F117" s="339" t="s">
        <v>315</v>
      </c>
      <c r="G117" s="249" t="s">
        <v>636</v>
      </c>
      <c r="H117" s="249" t="s">
        <v>637</v>
      </c>
    </row>
    <row r="118" spans="2:8" x14ac:dyDescent="0.3">
      <c r="C118" s="249" t="str">
        <f>+C6</f>
        <v>Oxidant Stream</v>
      </c>
      <c r="D118" s="249" t="s">
        <v>486</v>
      </c>
      <c r="E118" s="167" t="s">
        <v>477</v>
      </c>
      <c r="F118" s="325">
        <v>1995</v>
      </c>
      <c r="G118" s="249">
        <v>1</v>
      </c>
      <c r="H118" s="249">
        <v>1</v>
      </c>
    </row>
    <row r="119" spans="2:8" x14ac:dyDescent="0.3">
      <c r="C119" s="249" t="str">
        <f>+C13</f>
        <v>Primary Conversion</v>
      </c>
      <c r="D119" s="252" t="s">
        <v>455</v>
      </c>
      <c r="E119" s="167" t="s">
        <v>478</v>
      </c>
      <c r="F119" s="116">
        <v>1996</v>
      </c>
      <c r="G119" s="249">
        <v>2</v>
      </c>
      <c r="H119" s="249">
        <v>2</v>
      </c>
    </row>
    <row r="120" spans="2:8" x14ac:dyDescent="0.3">
      <c r="C120" s="249" t="str">
        <f>+C28</f>
        <v>Power Generation</v>
      </c>
      <c r="D120" s="249"/>
      <c r="E120" s="167" t="s">
        <v>479</v>
      </c>
      <c r="F120" s="116">
        <v>1997</v>
      </c>
      <c r="G120" s="249">
        <v>3</v>
      </c>
      <c r="H120" s="249">
        <v>3</v>
      </c>
    </row>
    <row r="121" spans="2:8" x14ac:dyDescent="0.3">
      <c r="C121" s="249" t="str">
        <f>+C64</f>
        <v>Secondary Conversion</v>
      </c>
      <c r="D121" s="249"/>
      <c r="E121" s="167" t="s">
        <v>480</v>
      </c>
      <c r="F121" s="116">
        <v>1998</v>
      </c>
      <c r="G121" s="249">
        <v>4</v>
      </c>
      <c r="H121" s="249">
        <v>4</v>
      </c>
    </row>
    <row r="122" spans="2:8" x14ac:dyDescent="0.3">
      <c r="C122" s="249" t="str">
        <f>+C84</f>
        <v>Contaminant Removal</v>
      </c>
      <c r="D122" s="249"/>
      <c r="E122" s="167" t="s">
        <v>481</v>
      </c>
      <c r="F122" s="116">
        <v>1999</v>
      </c>
      <c r="G122" s="249"/>
      <c r="H122" s="249">
        <v>5</v>
      </c>
    </row>
    <row r="123" spans="2:8" x14ac:dyDescent="0.3">
      <c r="C123" s="249" t="str">
        <f>+C100</f>
        <v>Energy Storage</v>
      </c>
      <c r="D123" s="249"/>
      <c r="E123" s="167" t="s">
        <v>487</v>
      </c>
      <c r="F123" s="116">
        <v>2000</v>
      </c>
      <c r="G123" s="249"/>
      <c r="H123" s="249">
        <v>6</v>
      </c>
    </row>
    <row r="124" spans="2:8" x14ac:dyDescent="0.3">
      <c r="C124" s="249" t="s">
        <v>434</v>
      </c>
      <c r="D124" s="249"/>
      <c r="E124" s="167" t="s">
        <v>599</v>
      </c>
      <c r="F124" s="116">
        <v>2001</v>
      </c>
      <c r="G124" s="249"/>
      <c r="H124" s="249">
        <v>7</v>
      </c>
    </row>
    <row r="125" spans="2:8" x14ac:dyDescent="0.3">
      <c r="C125" s="249"/>
      <c r="D125" s="249"/>
      <c r="E125" s="167" t="s">
        <v>482</v>
      </c>
      <c r="F125" s="116">
        <v>2002</v>
      </c>
      <c r="G125" s="249"/>
      <c r="H125" s="249">
        <v>8</v>
      </c>
    </row>
    <row r="126" spans="2:8" x14ac:dyDescent="0.3">
      <c r="C126" s="249"/>
      <c r="D126" s="249"/>
      <c r="E126" s="167" t="s">
        <v>601</v>
      </c>
      <c r="F126" s="116">
        <v>2003</v>
      </c>
      <c r="G126" s="249"/>
      <c r="H126" s="249">
        <v>9</v>
      </c>
    </row>
    <row r="127" spans="2:8" x14ac:dyDescent="0.3">
      <c r="C127" s="249"/>
      <c r="D127" s="249"/>
      <c r="E127" s="167" t="s">
        <v>483</v>
      </c>
      <c r="F127" s="116">
        <v>2004</v>
      </c>
      <c r="G127" s="249"/>
      <c r="H127" s="249">
        <v>10</v>
      </c>
    </row>
    <row r="128" spans="2:8" x14ac:dyDescent="0.3">
      <c r="E128" s="334" t="s">
        <v>600</v>
      </c>
      <c r="F128" s="116">
        <v>2005</v>
      </c>
      <c r="G128" s="249"/>
      <c r="H128" s="249">
        <v>11</v>
      </c>
    </row>
    <row r="129" spans="5:8" x14ac:dyDescent="0.3">
      <c r="E129" s="334" t="s">
        <v>624</v>
      </c>
      <c r="F129" s="116">
        <v>2006</v>
      </c>
      <c r="G129" s="249"/>
      <c r="H129" s="249">
        <v>12</v>
      </c>
    </row>
    <row r="130" spans="5:8" x14ac:dyDescent="0.3">
      <c r="E130" s="334" t="s">
        <v>596</v>
      </c>
      <c r="F130" s="116">
        <v>2007</v>
      </c>
      <c r="G130" s="249"/>
      <c r="H130" s="249">
        <v>13</v>
      </c>
    </row>
    <row r="131" spans="5:8" x14ac:dyDescent="0.3">
      <c r="E131" s="334" t="s">
        <v>597</v>
      </c>
      <c r="F131" s="116">
        <v>2008</v>
      </c>
      <c r="G131" s="249"/>
      <c r="H131" s="249">
        <v>14</v>
      </c>
    </row>
    <row r="132" spans="5:8" x14ac:dyDescent="0.3">
      <c r="E132" s="334"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652</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094" t="s">
        <v>641</v>
      </c>
      <c r="C3" s="1095"/>
      <c r="D3" s="1095"/>
      <c r="E3" s="1095"/>
      <c r="F3" s="1095"/>
      <c r="G3" s="1095"/>
      <c r="H3" s="1095"/>
      <c r="I3" s="1096"/>
      <c r="J3" s="1094" t="s">
        <v>642</v>
      </c>
      <c r="K3" s="1095"/>
      <c r="L3" s="1095"/>
      <c r="M3" s="1095"/>
      <c r="N3" s="1095"/>
      <c r="O3" s="1095"/>
      <c r="P3" s="1095"/>
      <c r="Q3" s="1095"/>
      <c r="R3" s="1096"/>
      <c r="S3" s="1094" t="s">
        <v>643</v>
      </c>
      <c r="T3" s="1095"/>
      <c r="U3" s="1096"/>
    </row>
    <row r="4" spans="2:21" ht="18" x14ac:dyDescent="0.3">
      <c r="B4" s="88" t="s">
        <v>356</v>
      </c>
      <c r="C4" s="88" t="s">
        <v>645</v>
      </c>
      <c r="D4" s="88" t="s">
        <v>497</v>
      </c>
      <c r="E4" s="89" t="s">
        <v>463</v>
      </c>
      <c r="F4" s="89" t="s">
        <v>315</v>
      </c>
      <c r="G4" s="89" t="s">
        <v>508</v>
      </c>
      <c r="H4" s="88" t="s">
        <v>505</v>
      </c>
      <c r="I4" s="388" t="s">
        <v>235</v>
      </c>
      <c r="J4" s="262" t="s">
        <v>465</v>
      </c>
      <c r="K4" s="262" t="s">
        <v>466</v>
      </c>
      <c r="L4" s="261" t="s">
        <v>585</v>
      </c>
      <c r="M4" s="263" t="s">
        <v>468</v>
      </c>
      <c r="N4" s="264" t="s">
        <v>467</v>
      </c>
      <c r="O4" s="263" t="s">
        <v>649</v>
      </c>
      <c r="P4" s="263" t="s">
        <v>650</v>
      </c>
      <c r="Q4" s="263" t="s">
        <v>464</v>
      </c>
      <c r="R4" s="90" t="s">
        <v>638</v>
      </c>
      <c r="S4" s="394" t="s">
        <v>646</v>
      </c>
      <c r="T4" s="1333" t="s">
        <v>644</v>
      </c>
      <c r="U4" s="1208"/>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2" t="str">
        <f>TEXT(C2,0)</f>
        <v>0</v>
      </c>
      <c r="K14" s="1203"/>
      <c r="L14" s="1203"/>
      <c r="M14" s="1203"/>
      <c r="N14" s="1203"/>
      <c r="O14" s="1203"/>
      <c r="P14" s="1203"/>
      <c r="Q14" s="1203"/>
      <c r="R14" s="1203"/>
      <c r="S14" s="1203"/>
      <c r="T14" s="1204"/>
      <c r="U14" s="84"/>
    </row>
    <row r="15" spans="2:21" x14ac:dyDescent="0.3">
      <c r="B15" s="437"/>
      <c r="C15" s="438"/>
      <c r="D15" s="438"/>
      <c r="E15" s="438"/>
      <c r="F15" s="438"/>
      <c r="G15" s="438"/>
      <c r="H15" s="438"/>
      <c r="I15" s="438"/>
      <c r="J15" s="419" t="s">
        <v>647</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575</v>
      </c>
      <c r="K23" s="86" t="s">
        <v>651</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2021-10-13T08:35:29Z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